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08" windowWidth="15924" windowHeight="5532"/>
  </bookViews>
  <sheets>
    <sheet name="Sheet1" sheetId="1" r:id="rId1"/>
    <sheet name="Corpus vs Duration" sheetId="3" r:id="rId2"/>
  </sheets>
  <definedNames>
    <definedName name="corpindex">Sheet1!$D$19</definedName>
    <definedName name="corpnoindex">Sheet1!$D$18</definedName>
    <definedName name="rate">Sheet1!$F$5</definedName>
    <definedName name="rated">Sheet1!$F$6</definedName>
    <definedName name="sum">Sheet1!$K$4</definedName>
    <definedName name="sumd">Sheet1!$M$4</definedName>
    <definedName name="tax">Sheet1!$F$8</definedName>
    <definedName name="tenure">Sheet1!$F$4</definedName>
  </definedNames>
  <calcPr calcId="124519"/>
</workbook>
</file>

<file path=xl/calcChain.xml><?xml version="1.0" encoding="utf-8"?>
<calcChain xmlns="http://schemas.openxmlformats.org/spreadsheetml/2006/main">
  <c r="G25" i="3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5" i="1"/>
  <c r="D16" s="1"/>
  <c r="A3" i="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D17" i="1"/>
  <c r="M4"/>
  <c r="Q13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O29" s="1"/>
  <c r="K4"/>
  <c r="L4" s="1"/>
  <c r="D18" l="1"/>
  <c r="D19"/>
  <c r="N4"/>
  <c r="M5" s="1"/>
  <c r="N5" s="1"/>
  <c r="B2" i="3"/>
  <c r="B3"/>
  <c r="B5"/>
  <c r="B7"/>
  <c r="B9"/>
  <c r="B11"/>
  <c r="B13"/>
  <c r="B15"/>
  <c r="B17"/>
  <c r="B19"/>
  <c r="B21"/>
  <c r="B23"/>
  <c r="B25"/>
  <c r="B4"/>
  <c r="B6"/>
  <c r="B8"/>
  <c r="B10"/>
  <c r="B12"/>
  <c r="B14"/>
  <c r="B16"/>
  <c r="B18"/>
  <c r="B20"/>
  <c r="B22"/>
  <c r="B24"/>
  <c r="O26" i="1"/>
  <c r="N29"/>
  <c r="O8"/>
  <c r="O10"/>
  <c r="O12"/>
  <c r="O14"/>
  <c r="O16"/>
  <c r="O18"/>
  <c r="O20"/>
  <c r="O22"/>
  <c r="O24"/>
  <c r="O5"/>
  <c r="O9"/>
  <c r="O11"/>
  <c r="O15"/>
  <c r="O17"/>
  <c r="O19"/>
  <c r="O21"/>
  <c r="O25"/>
  <c r="O27"/>
  <c r="L29"/>
  <c r="K29"/>
  <c r="J30"/>
  <c r="M29"/>
  <c r="D13"/>
  <c r="K5"/>
  <c r="L5" s="1"/>
  <c r="O30" l="1"/>
  <c r="N30"/>
  <c r="K30"/>
  <c r="L30"/>
  <c r="M30"/>
  <c r="J31"/>
  <c r="O7"/>
  <c r="K6"/>
  <c r="L6" s="1"/>
  <c r="O4" l="1"/>
  <c r="O6"/>
  <c r="O31"/>
  <c r="N31"/>
  <c r="O13"/>
  <c r="O23"/>
  <c r="O28"/>
  <c r="L31"/>
  <c r="K31"/>
  <c r="M31"/>
  <c r="J32"/>
  <c r="M6"/>
  <c r="N6" s="1"/>
  <c r="K7"/>
  <c r="L7" s="1"/>
  <c r="O32" l="1"/>
  <c r="N32"/>
  <c r="L32"/>
  <c r="K32"/>
  <c r="M32"/>
  <c r="J33"/>
  <c r="M7"/>
  <c r="N7" s="1"/>
  <c r="K8"/>
  <c r="L8" s="1"/>
  <c r="O33" l="1"/>
  <c r="N33"/>
  <c r="L33"/>
  <c r="K33"/>
  <c r="M8"/>
  <c r="M33"/>
  <c r="J34"/>
  <c r="K9"/>
  <c r="L9" s="1"/>
  <c r="O34" l="1"/>
  <c r="N34"/>
  <c r="N8"/>
  <c r="M9" s="1"/>
  <c r="N9" s="1"/>
  <c r="M10" s="1"/>
  <c r="N10" s="1"/>
  <c r="K34"/>
  <c r="L34"/>
  <c r="M34"/>
  <c r="J35"/>
  <c r="K10"/>
  <c r="L10" s="1"/>
  <c r="O35" l="1"/>
  <c r="N35"/>
  <c r="L35"/>
  <c r="K35"/>
  <c r="M35"/>
  <c r="J36"/>
  <c r="M11"/>
  <c r="N11" s="1"/>
  <c r="K11"/>
  <c r="L11" s="1"/>
  <c r="O36" l="1"/>
  <c r="N36"/>
  <c r="L36"/>
  <c r="K36"/>
  <c r="M36"/>
  <c r="J37"/>
  <c r="M12"/>
  <c r="N12" s="1"/>
  <c r="K12"/>
  <c r="L12" s="1"/>
  <c r="O37" l="1"/>
  <c r="N37"/>
  <c r="L37"/>
  <c r="K37"/>
  <c r="M37"/>
  <c r="J38"/>
  <c r="M13"/>
  <c r="N13" s="1"/>
  <c r="K13"/>
  <c r="L13" s="1"/>
  <c r="O38" l="1"/>
  <c r="N38"/>
  <c r="K38"/>
  <c r="L38"/>
  <c r="K14"/>
  <c r="L14" s="1"/>
  <c r="M38"/>
  <c r="J39"/>
  <c r="M14"/>
  <c r="N14" s="1"/>
  <c r="O39" l="1"/>
  <c r="N39"/>
  <c r="L39"/>
  <c r="K39"/>
  <c r="K15"/>
  <c r="M39"/>
  <c r="J40"/>
  <c r="M15"/>
  <c r="N15" s="1"/>
  <c r="O40" l="1"/>
  <c r="N40"/>
  <c r="L40"/>
  <c r="K40"/>
  <c r="L15"/>
  <c r="K16" s="1"/>
  <c r="M40"/>
  <c r="J41"/>
  <c r="M16"/>
  <c r="N16" s="1"/>
  <c r="O41" l="1"/>
  <c r="N41"/>
  <c r="L41"/>
  <c r="K41"/>
  <c r="L16"/>
  <c r="K17" s="1"/>
  <c r="L17" s="1"/>
  <c r="K18" s="1"/>
  <c r="L18" s="1"/>
  <c r="K19" s="1"/>
  <c r="L19" s="1"/>
  <c r="M41"/>
  <c r="J42"/>
  <c r="M17"/>
  <c r="N17" s="1"/>
  <c r="O42" l="1"/>
  <c r="N42"/>
  <c r="L42"/>
  <c r="K42"/>
  <c r="M42"/>
  <c r="J43"/>
  <c r="M18"/>
  <c r="N18" s="1"/>
  <c r="K20"/>
  <c r="L20" s="1"/>
  <c r="O43" l="1"/>
  <c r="N43"/>
  <c r="L43"/>
  <c r="K43"/>
  <c r="M43"/>
  <c r="J44"/>
  <c r="M19"/>
  <c r="N19" s="1"/>
  <c r="K21"/>
  <c r="L21" s="1"/>
  <c r="O44" l="1"/>
  <c r="N44"/>
  <c r="K44"/>
  <c r="L44"/>
  <c r="M44"/>
  <c r="J45"/>
  <c r="M20"/>
  <c r="N20" s="1"/>
  <c r="K22"/>
  <c r="L22" s="1"/>
  <c r="O45" l="1"/>
  <c r="N45"/>
  <c r="L45"/>
  <c r="K45"/>
  <c r="M45"/>
  <c r="J46"/>
  <c r="M21"/>
  <c r="N21" s="1"/>
  <c r="K23"/>
  <c r="L23" s="1"/>
  <c r="O46" l="1"/>
  <c r="N46"/>
  <c r="L46"/>
  <c r="K46"/>
  <c r="M46"/>
  <c r="J47"/>
  <c r="M22"/>
  <c r="N22" s="1"/>
  <c r="K24"/>
  <c r="L24" s="1"/>
  <c r="O47" l="1"/>
  <c r="N47"/>
  <c r="L47"/>
  <c r="K47"/>
  <c r="M47"/>
  <c r="J48"/>
  <c r="M23"/>
  <c r="N23" s="1"/>
  <c r="K25"/>
  <c r="L25" s="1"/>
  <c r="O48" l="1"/>
  <c r="N48"/>
  <c r="L48"/>
  <c r="K48"/>
  <c r="M48"/>
  <c r="J49"/>
  <c r="M24"/>
  <c r="N24" s="1"/>
  <c r="K26"/>
  <c r="L26" s="1"/>
  <c r="O49" l="1"/>
  <c r="N49"/>
  <c r="L49"/>
  <c r="K49"/>
  <c r="M49"/>
  <c r="J50"/>
  <c r="M25"/>
  <c r="N25" s="1"/>
  <c r="K27"/>
  <c r="L27" s="1"/>
  <c r="O50" l="1"/>
  <c r="N50"/>
  <c r="K50"/>
  <c r="L50"/>
  <c r="M50"/>
  <c r="J51"/>
  <c r="M26"/>
  <c r="N26" s="1"/>
  <c r="O51" l="1"/>
  <c r="N51"/>
  <c r="L51"/>
  <c r="K51"/>
  <c r="M51"/>
  <c r="J52"/>
  <c r="M27"/>
  <c r="N27" s="1"/>
  <c r="K28"/>
  <c r="L28" s="1"/>
  <c r="O52" l="1"/>
  <c r="N52"/>
  <c r="L52"/>
  <c r="K52"/>
  <c r="M52"/>
  <c r="J53"/>
  <c r="M28"/>
  <c r="N28" s="1"/>
  <c r="O53" l="1"/>
  <c r="N53"/>
  <c r="L53"/>
  <c r="K53"/>
  <c r="M53"/>
</calcChain>
</file>

<file path=xl/sharedStrings.xml><?xml version="1.0" encoding="utf-8"?>
<sst xmlns="http://schemas.openxmlformats.org/spreadsheetml/2006/main" count="37" uniqueCount="27">
  <si>
    <t>fill only cells in green</t>
  </si>
  <si>
    <t>Lump sum investment</t>
  </si>
  <si>
    <t>Duration of investment (years)</t>
  </si>
  <si>
    <t>Fixed Deposit</t>
  </si>
  <si>
    <r>
      <t xml:space="preserve">Fixed Deposit: </t>
    </r>
    <r>
      <rPr>
        <sz val="11"/>
        <color theme="1"/>
        <rFont val="Calibri"/>
        <family val="2"/>
        <scheme val="minor"/>
      </rPr>
      <t>Interest income is taxed as per slab each year.</t>
    </r>
  </si>
  <si>
    <t xml:space="preserve">Choose applicable tax slab </t>
  </si>
  <si>
    <r>
      <t xml:space="preserve">Debt Fund: </t>
    </r>
    <r>
      <rPr>
        <sz val="11"/>
        <color theme="1"/>
        <rFont val="Calibri"/>
        <family val="2"/>
        <scheme val="minor"/>
      </rPr>
      <t xml:space="preserve">Taxation is deferred until redemption and is either </t>
    </r>
  </si>
  <si>
    <t>10% or 20% with indexation (based on cost inflation index)</t>
  </si>
  <si>
    <t>Rate of annual increase in cost inflation index (5% is good no)</t>
  </si>
  <si>
    <t>Comparison between a lumpsum investment in a Fixed deposit &amp; a debt mutual fund</t>
  </si>
  <si>
    <t>Year</t>
  </si>
  <si>
    <t>Sum at</t>
  </si>
  <si>
    <t>year start</t>
  </si>
  <si>
    <t>year end</t>
  </si>
  <si>
    <t>Corpus from debt fund (pre-tax)</t>
  </si>
  <si>
    <t>Post-tax debt fund corpus without indexation</t>
  </si>
  <si>
    <t>Post-tax debt fund corpus with indexation</t>
  </si>
  <si>
    <t>Debt Fund</t>
  </si>
  <si>
    <t>Interest rate on debt fund (eg. Income fund)</t>
  </si>
  <si>
    <t>Interest rate on fixed deposit</t>
  </si>
  <si>
    <t>For tenure &lt; 3Y, gains are added to income</t>
  </si>
  <si>
    <t>Clarity is sought on the availability of the indexation option</t>
  </si>
  <si>
    <t>Corpus from fixed deposit (post-tax) Tax paid upon maturity</t>
  </si>
  <si>
    <t>Corpus from fixed deposit (post-tax) Tax paid each FY</t>
  </si>
  <si>
    <t>Tenure</t>
  </si>
  <si>
    <t>Corpus from fixed deposit (post-tds)</t>
  </si>
  <si>
    <t>Corpus from fixed deposit (post-tax) if applicable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</si>
</sst>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5" xfId="0" applyFont="1" applyBorder="1"/>
    <xf numFmtId="0" fontId="0" fillId="0" borderId="0" xfId="0" applyBorder="1"/>
    <xf numFmtId="0" fontId="0" fillId="0" borderId="0" xfId="0" applyFont="1" applyBorder="1"/>
    <xf numFmtId="164" fontId="0" fillId="0" borderId="0" xfId="1" applyNumberFormat="1" applyFont="1"/>
    <xf numFmtId="0" fontId="0" fillId="4" borderId="0" xfId="0" applyFill="1"/>
    <xf numFmtId="0" fontId="2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10" fontId="0" fillId="3" borderId="8" xfId="1" applyNumberFormat="1" applyFont="1" applyFill="1" applyBorder="1"/>
    <xf numFmtId="0" fontId="2" fillId="0" borderId="13" xfId="0" applyFont="1" applyBorder="1"/>
    <xf numFmtId="0" fontId="0" fillId="0" borderId="14" xfId="0" applyBorder="1"/>
    <xf numFmtId="0" fontId="0" fillId="5" borderId="0" xfId="0" applyFill="1" applyBorder="1"/>
    <xf numFmtId="0" fontId="0" fillId="5" borderId="5" xfId="0" applyFill="1" applyBorder="1"/>
    <xf numFmtId="10" fontId="0" fillId="3" borderId="10" xfId="1" applyNumberFormat="1" applyFont="1" applyFill="1" applyBorder="1"/>
    <xf numFmtId="0" fontId="2" fillId="5" borderId="1" xfId="0" applyFont="1" applyFill="1" applyBorder="1"/>
    <xf numFmtId="0" fontId="0" fillId="5" borderId="2" xfId="0" applyFill="1" applyBorder="1"/>
    <xf numFmtId="10" fontId="0" fillId="5" borderId="6" xfId="1" applyNumberFormat="1" applyFont="1" applyFill="1" applyBorder="1"/>
    <xf numFmtId="0" fontId="0" fillId="0" borderId="0" xfId="0" applyFill="1" applyBorder="1"/>
    <xf numFmtId="0" fontId="2" fillId="4" borderId="0" xfId="0" applyFont="1" applyFill="1"/>
    <xf numFmtId="0" fontId="0" fillId="4" borderId="15" xfId="0" applyFill="1" applyBorder="1"/>
    <xf numFmtId="0" fontId="0" fillId="4" borderId="16" xfId="0" applyFill="1" applyBorder="1"/>
    <xf numFmtId="0" fontId="2" fillId="0" borderId="18" xfId="0" applyFont="1" applyBorder="1"/>
    <xf numFmtId="0" fontId="0" fillId="6" borderId="0" xfId="0" applyFill="1"/>
    <xf numFmtId="0" fontId="0" fillId="5" borderId="3" xfId="0" applyFill="1" applyBorder="1"/>
    <xf numFmtId="164" fontId="0" fillId="0" borderId="0" xfId="1" applyNumberFormat="1" applyFont="1" applyBorder="1"/>
    <xf numFmtId="9" fontId="0" fillId="0" borderId="0" xfId="1" applyFont="1" applyFill="1" applyBorder="1"/>
    <xf numFmtId="0" fontId="2" fillId="4" borderId="17" xfId="0" applyFont="1" applyFill="1" applyBorder="1"/>
    <xf numFmtId="0" fontId="2" fillId="5" borderId="19" xfId="0" applyFont="1" applyFill="1" applyBorder="1"/>
    <xf numFmtId="0" fontId="0" fillId="5" borderId="20" xfId="0" applyFill="1" applyBorder="1"/>
    <xf numFmtId="0" fontId="0" fillId="3" borderId="21" xfId="0" applyFill="1" applyBorder="1"/>
    <xf numFmtId="0" fontId="0" fillId="3" borderId="4" xfId="0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7" xfId="0" applyFont="1" applyBorder="1"/>
    <xf numFmtId="3" fontId="2" fillId="2" borderId="7" xfId="0" applyNumberFormat="1" applyFont="1" applyFill="1" applyBorder="1"/>
    <xf numFmtId="0" fontId="2" fillId="6" borderId="0" xfId="0" applyFont="1" applyFill="1"/>
    <xf numFmtId="1" fontId="2" fillId="0" borderId="22" xfId="0" applyNumberFormat="1" applyFont="1" applyFill="1" applyBorder="1"/>
    <xf numFmtId="1" fontId="2" fillId="4" borderId="12" xfId="0" applyNumberFormat="1" applyFont="1" applyFill="1" applyBorder="1"/>
    <xf numFmtId="1" fontId="2" fillId="6" borderId="12" xfId="0" applyNumberFormat="1" applyFont="1" applyFill="1" applyBorder="1"/>
    <xf numFmtId="1" fontId="2" fillId="6" borderId="23" xfId="0" applyNumberFormat="1" applyFont="1" applyFill="1" applyBorder="1"/>
    <xf numFmtId="1" fontId="0" fillId="0" borderId="16" xfId="0" applyNumberFormat="1" applyBorder="1"/>
    <xf numFmtId="1" fontId="2" fillId="4" borderId="7" xfId="0" applyNumberFormat="1" applyFont="1" applyFill="1" applyBorder="1"/>
    <xf numFmtId="1" fontId="2" fillId="6" borderId="7" xfId="0" applyNumberFormat="1" applyFont="1" applyFill="1" applyBorder="1"/>
    <xf numFmtId="1" fontId="2" fillId="6" borderId="9" xfId="0" applyNumberFormat="1" applyFont="1" applyFill="1" applyBorder="1"/>
    <xf numFmtId="1" fontId="0" fillId="0" borderId="16" xfId="0" applyNumberFormat="1" applyFill="1" applyBorder="1"/>
    <xf numFmtId="1" fontId="0" fillId="4" borderId="7" xfId="0" applyNumberFormat="1" applyFill="1" applyBorder="1"/>
    <xf numFmtId="1" fontId="0" fillId="6" borderId="7" xfId="0" applyNumberFormat="1" applyFill="1" applyBorder="1"/>
    <xf numFmtId="1" fontId="0" fillId="6" borderId="9" xfId="0" applyNumberFormat="1" applyFill="1" applyBorder="1"/>
    <xf numFmtId="1" fontId="0" fillId="0" borderId="24" xfId="0" applyNumberFormat="1" applyFill="1" applyBorder="1"/>
    <xf numFmtId="1" fontId="0" fillId="6" borderId="11" xfId="0" applyNumberFormat="1" applyFill="1" applyBorder="1"/>
    <xf numFmtId="1" fontId="0" fillId="0" borderId="0" xfId="0" applyNumberFormat="1"/>
    <xf numFmtId="0" fontId="2" fillId="0" borderId="13" xfId="0" applyFont="1" applyFill="1" applyBorder="1"/>
    <xf numFmtId="0" fontId="0" fillId="0" borderId="14" xfId="0" applyFill="1" applyBorder="1"/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3" fontId="2" fillId="7" borderId="7" xfId="0" applyNumberFormat="1" applyFont="1" applyFill="1" applyBorder="1"/>
    <xf numFmtId="3" fontId="0" fillId="0" borderId="0" xfId="0" applyNumberFormat="1" applyFill="1" applyBorder="1"/>
    <xf numFmtId="0" fontId="0" fillId="8" borderId="0" xfId="0" applyFill="1" applyBorder="1"/>
    <xf numFmtId="164" fontId="0" fillId="8" borderId="0" xfId="1" applyNumberFormat="1" applyFont="1" applyFill="1" applyBorder="1"/>
    <xf numFmtId="10" fontId="0" fillId="8" borderId="0" xfId="1" applyNumberFormat="1" applyFont="1" applyFill="1" applyBorder="1"/>
    <xf numFmtId="0" fontId="0" fillId="8" borderId="0" xfId="0" applyFill="1"/>
    <xf numFmtId="0" fontId="2" fillId="0" borderId="0" xfId="0" applyFont="1" applyFill="1" applyBorder="1"/>
    <xf numFmtId="165" fontId="0" fillId="0" borderId="0" xfId="2" applyNumberFormat="1" applyFont="1"/>
    <xf numFmtId="165" fontId="0" fillId="0" borderId="0" xfId="0" applyNumberFormat="1"/>
    <xf numFmtId="0" fontId="0" fillId="0" borderId="9" xfId="0" applyFill="1" applyBorder="1"/>
    <xf numFmtId="0" fontId="0" fillId="0" borderId="9" xfId="0" applyFont="1" applyFill="1" applyBorder="1"/>
    <xf numFmtId="166" fontId="0" fillId="0" borderId="0" xfId="2" applyNumberFormat="1" applyFont="1"/>
    <xf numFmtId="0" fontId="2" fillId="9" borderId="7" xfId="0" applyFont="1" applyFill="1" applyBorder="1"/>
    <xf numFmtId="166" fontId="2" fillId="9" borderId="7" xfId="2" applyNumberFormat="1" applyFont="1" applyFill="1" applyBorder="1"/>
    <xf numFmtId="0" fontId="0" fillId="9" borderId="7" xfId="0" applyFill="1" applyBorder="1"/>
    <xf numFmtId="0" fontId="0" fillId="0" borderId="0" xfId="0" applyFill="1"/>
    <xf numFmtId="166" fontId="0" fillId="0" borderId="0" xfId="2" applyNumberFormat="1" applyFont="1" applyFill="1"/>
    <xf numFmtId="0" fontId="2" fillId="9" borderId="9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8">
    <dxf>
      <numFmt numFmtId="1" formatCode="0"/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3" tint="0.7999816888943144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</dxf>
    <dxf>
      <border outline="0"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66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/>
            </a:pPr>
            <a:r>
              <a:rPr lang="en-IN"/>
              <a:t>Fixed Deposit vs Debt Fund</a:t>
            </a:r>
          </a:p>
        </c:rich>
      </c:tx>
      <c:layout>
        <c:manualLayout>
          <c:xMode val="edge"/>
          <c:yMode val="edge"/>
          <c:x val="0.24380331983388953"/>
          <c:y val="3.4802784222737818E-2"/>
        </c:manualLayout>
      </c:layout>
    </c:title>
    <c:plotArea>
      <c:layout/>
      <c:scatterChart>
        <c:scatterStyle val="smoothMarker"/>
        <c:ser>
          <c:idx val="2"/>
          <c:order val="2"/>
          <c:tx>
            <c:v>Fixed Deposit</c:v>
          </c:tx>
          <c:marker>
            <c:symbol val="circle"/>
            <c:size val="9"/>
          </c:marker>
          <c:xVal>
            <c:strRef>
              <c:f>Sheet1!$J$4:$J$53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xVal>
          <c:yVal>
            <c:numRef>
              <c:f>Sheet1!$L$4:$L$53</c:f>
              <c:numCache>
                <c:formatCode>0</c:formatCode>
                <c:ptCount val="50"/>
                <c:pt idx="0">
                  <c:v>10807.3</c:v>
                </c:pt>
                <c:pt idx="1">
                  <c:v>11679.773329</c:v>
                </c:pt>
                <c:pt idx="2">
                  <c:v>12622.681429850169</c:v>
                </c:pt>
                <c:pt idx="3">
                  <c:v>13641.710501681971</c:v>
                </c:pt>
                <c:pt idx="4">
                  <c:v>14743.005790482757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axId val="65024000"/>
        <c:axId val="65027072"/>
      </c:scatterChart>
      <c:scatterChart>
        <c:scatterStyle val="lineMarker"/>
        <c:ser>
          <c:idx val="0"/>
          <c:order val="0"/>
          <c:tx>
            <c:v>Debt Fund (pre-tax)</c:v>
          </c:tx>
          <c:marker>
            <c:symbol val="circle"/>
            <c:size val="9"/>
          </c:marker>
          <c:xVal>
            <c:strRef>
              <c:f>Sheet1!$J$4:$J$53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xVal>
          <c:yVal>
            <c:numRef>
              <c:f>Sheet1!$N$4:$N$53</c:f>
              <c:numCache>
                <c:formatCode>0</c:formatCode>
                <c:ptCount val="50"/>
                <c:pt idx="0">
                  <c:v>10900</c:v>
                </c:pt>
                <c:pt idx="1">
                  <c:v>11881</c:v>
                </c:pt>
                <c:pt idx="2">
                  <c:v>12950.29</c:v>
                </c:pt>
                <c:pt idx="3">
                  <c:v>14115.816100000002</c:v>
                </c:pt>
                <c:pt idx="4">
                  <c:v>15386.239549000004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</c:ser>
        <c:ser>
          <c:idx val="1"/>
          <c:order val="1"/>
          <c:tx>
            <c:v>Final post-tax debt fund corpus</c:v>
          </c:tx>
          <c:spPr>
            <a:ln w="66675">
              <a:noFill/>
            </a:ln>
          </c:spPr>
          <c:marker>
            <c:symbol val="circle"/>
            <c:size val="12"/>
          </c:marker>
          <c:xVal>
            <c:strRef>
              <c:f>Sheet1!$J$4:$J$53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xVal>
          <c:yVal>
            <c:numRef>
              <c:f>Sheet1!$O$4:$O$53</c:f>
              <c:numCache>
                <c:formatCode>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14276.674201906004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</c:ser>
        <c:axId val="65024000"/>
        <c:axId val="65027072"/>
      </c:scatterChart>
      <c:valAx>
        <c:axId val="650240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Years</a:t>
                </a:r>
              </a:p>
            </c:rich>
          </c:tx>
        </c:title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027072"/>
        <c:crosses val="autoZero"/>
        <c:crossBetween val="midCat"/>
      </c:valAx>
      <c:valAx>
        <c:axId val="65027072"/>
        <c:scaling>
          <c:orientation val="minMax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024000"/>
        <c:crosses val="autoZero"/>
        <c:crossBetween val="midCat"/>
      </c:valAx>
    </c:plotArea>
    <c:legend>
      <c:legendPos val="b"/>
    </c:legend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5.7037887556175088E-2"/>
          <c:y val="2.0477484598898966E-2"/>
          <c:w val="0.84169264153251822"/>
          <c:h val="0.80333442590145476"/>
        </c:manualLayout>
      </c:layout>
      <c:scatterChart>
        <c:scatterStyle val="smoothMarker"/>
        <c:ser>
          <c:idx val="0"/>
          <c:order val="0"/>
          <c:tx>
            <c:strRef>
              <c:f>'Corpus vs Duration'!$B$1</c:f>
              <c:strCache>
                <c:ptCount val="1"/>
                <c:pt idx="0">
                  <c:v>Corpus from fixed deposit (post-tax) Tax paid each FY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circle"/>
            <c:size val="10"/>
            <c:spPr>
              <a:solidFill>
                <a:srgbClr val="0000FF"/>
              </a:solidFill>
            </c:spPr>
          </c:marker>
          <c:xVal>
            <c:numRef>
              <c:f>'Corpus vs Duration'!$A$2:$A$11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'Corpus vs Duration'!$B$2:$B$11</c:f>
              <c:numCache>
                <c:formatCode>_ * #,##0_ ;_ * \-#,##0_ ;_ * "-"??_ ;_ @_ </c:formatCode>
                <c:ptCount val="10"/>
                <c:pt idx="0">
                  <c:v>10807.3</c:v>
                </c:pt>
                <c:pt idx="1">
                  <c:v>11679.773328999998</c:v>
                </c:pt>
                <c:pt idx="2">
                  <c:v>12622.681429850169</c:v>
                </c:pt>
                <c:pt idx="3">
                  <c:v>13641.71050168197</c:v>
                </c:pt>
                <c:pt idx="4">
                  <c:v>14743.005790482755</c:v>
                </c:pt>
                <c:pt idx="5">
                  <c:v>15933.208647948424</c:v>
                </c:pt>
                <c:pt idx="6">
                  <c:v>17219.496582097301</c:v>
                </c:pt>
                <c:pt idx="7">
                  <c:v>18609.626541170011</c:v>
                </c:pt>
                <c:pt idx="8">
                  <c:v>20111.981691838668</c:v>
                </c:pt>
                <c:pt idx="9">
                  <c:v>21735.621973820798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'Corpus vs Duration'!$G$1</c:f>
              <c:strCache>
                <c:ptCount val="1"/>
                <c:pt idx="0">
                  <c:v>Corpus from fixed deposit (post-tax) Tax paid upon maturity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0000"/>
              </a:solidFill>
            </c:spPr>
          </c:marker>
          <c:xVal>
            <c:numRef>
              <c:f>'Corpus vs Duration'!$A$2:$A$11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'Corpus vs Duration'!$G$2:$G$11</c:f>
              <c:numCache>
                <c:formatCode>_ * #,##0_ ;_ * \-#,##0_ ;_ * "-"??_ ;_ @_ </c:formatCode>
                <c:ptCount val="10"/>
                <c:pt idx="0">
                  <c:v>10807.3</c:v>
                </c:pt>
                <c:pt idx="1">
                  <c:v>11679.773328999998</c:v>
                </c:pt>
                <c:pt idx="2">
                  <c:v>12622.681429850169</c:v>
                </c:pt>
                <c:pt idx="3">
                  <c:v>13641.71050168197</c:v>
                </c:pt>
                <c:pt idx="4">
                  <c:v>14743.005790482755</c:v>
                </c:pt>
                <c:pt idx="5">
                  <c:v>15933.208647948424</c:v>
                </c:pt>
                <c:pt idx="6">
                  <c:v>17219.496582097301</c:v>
                </c:pt>
                <c:pt idx="7">
                  <c:v>18609.626541170011</c:v>
                </c:pt>
                <c:pt idx="8">
                  <c:v>20111.981691838668</c:v>
                </c:pt>
                <c:pt idx="9">
                  <c:v>21735.621973820798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'Corpus vs Duration'!$D$1</c:f>
              <c:strCache>
                <c:ptCount val="1"/>
                <c:pt idx="0">
                  <c:v>Post-tax debt fund corpus without indexation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circle"/>
            <c:size val="10"/>
            <c:spPr>
              <a:solidFill>
                <a:srgbClr val="006600"/>
              </a:solidFill>
            </c:spPr>
          </c:marker>
          <c:xVal>
            <c:numRef>
              <c:f>'Corpus vs Duration'!$A$2:$A$11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'Corpus vs Duration'!$D$2:$D$11</c:f>
              <c:numCache>
                <c:formatCode>_ * #,##0_ ;_ * \-#,##0_ ;_ * "-"??_ ;_ @_ </c:formatCode>
                <c:ptCount val="10"/>
                <c:pt idx="0">
                  <c:v>10807.3</c:v>
                </c:pt>
                <c:pt idx="1">
                  <c:v>11687.257000000001</c:v>
                </c:pt>
                <c:pt idx="2">
                  <c:v>12646.410130000002</c:v>
                </c:pt>
                <c:pt idx="3">
                  <c:v>13267.957983400001</c:v>
                </c:pt>
                <c:pt idx="4">
                  <c:v>14276.674201906004</c:v>
                </c:pt>
                <c:pt idx="5">
                  <c:v>15376.174880077546</c:v>
                </c:pt>
                <c:pt idx="6">
                  <c:v>16574.630619284526</c:v>
                </c:pt>
                <c:pt idx="7">
                  <c:v>17880.947375020132</c:v>
                </c:pt>
                <c:pt idx="8">
                  <c:v>19304.832638771946</c:v>
                </c:pt>
                <c:pt idx="9">
                  <c:v>20856.867576261422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'Corpus vs Duration'!$E$1</c:f>
              <c:strCache>
                <c:ptCount val="1"/>
                <c:pt idx="0">
                  <c:v>Post-tax debt fund corpus with indexation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</c:spPr>
          </c:marker>
          <c:xVal>
            <c:numRef>
              <c:f>'Corpus vs Duration'!$A$2:$A$11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'Corpus vs Duration'!$E$2:$E$11</c:f>
              <c:numCache>
                <c:formatCode>_ * #,##0_ ;_ * \-#,##0_ ;_ * "-"??_ ;_ @_ </c:formatCode>
                <c:ptCount val="10"/>
                <c:pt idx="0">
                  <c:v>10807.3</c:v>
                </c:pt>
                <c:pt idx="1">
                  <c:v>11687.257000000001</c:v>
                </c:pt>
                <c:pt idx="2">
                  <c:v>12646.410130000002</c:v>
                </c:pt>
                <c:pt idx="3">
                  <c:v>13711.900858400002</c:v>
                </c:pt>
                <c:pt idx="4">
                  <c:v>14845.814220656004</c:v>
                </c:pt>
                <c:pt idx="5">
                  <c:v>16076.771899765046</c:v>
                </c:pt>
                <c:pt idx="6">
                  <c:v>17413.257489956399</c:v>
                </c:pt>
                <c:pt idx="7">
                  <c:v>18864.505589225602</c:v>
                </c:pt>
                <c:pt idx="8">
                  <c:v>20440.568763687686</c:v>
                </c:pt>
                <c:pt idx="9">
                  <c:v>22152.390507422951</c:v>
                </c:pt>
              </c:numCache>
            </c:numRef>
          </c:yVal>
          <c:smooth val="1"/>
        </c:ser>
        <c:axId val="66847488"/>
        <c:axId val="84808448"/>
      </c:scatterChart>
      <c:valAx>
        <c:axId val="66847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Duration (years)</a:t>
                </a:r>
              </a:p>
            </c:rich>
          </c:tx>
        </c:title>
        <c:numFmt formatCode="General" sourceLinked="1"/>
        <c:tickLblPos val="nextTo"/>
        <c:crossAx val="84808448"/>
        <c:crosses val="autoZero"/>
        <c:crossBetween val="midCat"/>
      </c:valAx>
      <c:valAx>
        <c:axId val="84808448"/>
        <c:scaling>
          <c:orientation val="minMax"/>
          <c:min val="10000"/>
        </c:scaling>
        <c:axPos val="l"/>
        <c:numFmt formatCode="_ * #,##0_ ;_ * \-#,##0_ ;_ * &quot;-&quot;??_ ;_ @_ " sourceLinked="1"/>
        <c:tickLblPos val="nextTo"/>
        <c:crossAx val="66847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6294870440952"/>
          <c:y val="1.857016184959133E-2"/>
          <c:w val="0.6361105316856509"/>
          <c:h val="0.40332811043859101"/>
        </c:manualLayout>
      </c:layout>
    </c:legend>
    <c:plotVisOnly val="1"/>
  </c:chart>
  <c:txPr>
    <a:bodyPr/>
    <a:lstStyle/>
    <a:p>
      <a:pPr>
        <a:defRPr sz="2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20</xdr:row>
      <xdr:rowOff>137160</xdr:rowOff>
    </xdr:from>
    <xdr:to>
      <xdr:col>7</xdr:col>
      <xdr:colOff>381000</xdr:colOff>
      <xdr:row>38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110836</xdr:colOff>
      <xdr:row>4</xdr:row>
      <xdr:rowOff>41564</xdr:rowOff>
    </xdr:from>
    <xdr:to>
      <xdr:col>8</xdr:col>
      <xdr:colOff>0</xdr:colOff>
      <xdr:row>39</xdr:row>
      <xdr:rowOff>27709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J2:O53" headerRowCount="0" totalsRowShown="0" headerRowDxfId="16" dataDxfId="14" headerRowBorderDxfId="15" tableBorderDxfId="13" totalsRowBorderDxfId="12">
  <tableColumns count="6">
    <tableColumn id="1" name="Column1" headerRowDxfId="11" dataDxfId="10">
      <calculatedColumnFormula>IF(J1&lt;tenure,J1+1,"")</calculatedColumnFormula>
    </tableColumn>
    <tableColumn id="2" name="Fixed Deposit" headerRowDxfId="9" dataDxfId="8"/>
    <tableColumn id="3" name="Column2" headerRowDxfId="7" dataDxfId="6">
      <calculatedColumnFormula>IF(J2&lt;=tenure,K2*((1+rate*(1-IF(tax=10%,10.3%,IF(tax=20%,20.6%,IF(tax=30%,30.9%)))))),"")</calculatedColumnFormula>
    </tableColumn>
    <tableColumn id="4" name="Debt Fund" headerRowDxfId="5" dataDxfId="4">
      <calculatedColumnFormula>IF(J2&lt;=tenure,N1,"")</calculatedColumnFormula>
    </tableColumn>
    <tableColumn id="5" name="Column3" headerRowDxfId="3" dataDxfId="2">
      <calculatedColumnFormula>IF(J2&lt;=tenure,M2*((1+rate)),"")</calculatedColumnFormula>
    </tableColumn>
    <tableColumn id="6" name="Column4" headerRowDxfId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>
      <selection activeCell="E16" sqref="E16"/>
    </sheetView>
  </sheetViews>
  <sheetFormatPr defaultRowHeight="14.4"/>
  <cols>
    <col min="1" max="1" width="19.6640625" customWidth="1"/>
    <col min="2" max="2" width="13.44140625" bestFit="1" customWidth="1"/>
    <col min="3" max="3" width="22.21875" bestFit="1" customWidth="1"/>
    <col min="4" max="4" width="13.44140625" bestFit="1" customWidth="1"/>
    <col min="6" max="6" width="8.88671875" bestFit="1" customWidth="1"/>
    <col min="7" max="8" width="8.88671875" customWidth="1"/>
    <col min="10" max="10" width="4.6640625" bestFit="1" customWidth="1"/>
    <col min="11" max="11" width="8.88671875" bestFit="1" customWidth="1"/>
    <col min="12" max="12" width="8.33203125" bestFit="1" customWidth="1"/>
    <col min="13" max="13" width="8.88671875" bestFit="1" customWidth="1"/>
    <col min="14" max="14" width="9" bestFit="1" customWidth="1"/>
    <col min="15" max="15" width="8.88671875" hidden="1" customWidth="1"/>
    <col min="17" max="17" width="0" hidden="1" customWidth="1"/>
  </cols>
  <sheetData>
    <row r="1" spans="1:17">
      <c r="A1" s="1" t="s">
        <v>9</v>
      </c>
      <c r="B1" s="2"/>
      <c r="C1" s="2"/>
      <c r="D1" s="2"/>
      <c r="E1" s="3"/>
      <c r="K1" s="22" t="s">
        <v>3</v>
      </c>
      <c r="L1" s="8"/>
      <c r="M1" s="41" t="s">
        <v>17</v>
      </c>
      <c r="N1" s="26"/>
    </row>
    <row r="2" spans="1:17" ht="15" thickBot="1">
      <c r="A2" s="4" t="s">
        <v>0</v>
      </c>
      <c r="B2" s="5"/>
      <c r="C2" s="5"/>
      <c r="D2" s="5"/>
      <c r="E2" s="5"/>
      <c r="F2" s="5"/>
      <c r="G2" s="63"/>
      <c r="H2" s="63"/>
      <c r="J2" s="42" t="s">
        <v>10</v>
      </c>
      <c r="K2" s="43" t="s">
        <v>11</v>
      </c>
      <c r="L2" s="43" t="s">
        <v>11</v>
      </c>
      <c r="M2" s="44" t="s">
        <v>11</v>
      </c>
      <c r="N2" s="45" t="s">
        <v>11</v>
      </c>
      <c r="O2" s="56"/>
    </row>
    <row r="3" spans="1:17" ht="15" thickBot="1">
      <c r="A3" s="13" t="s">
        <v>1</v>
      </c>
      <c r="B3" s="14"/>
      <c r="C3" s="14"/>
      <c r="D3" s="14"/>
      <c r="E3" s="14"/>
      <c r="F3" s="34">
        <v>10000</v>
      </c>
      <c r="G3" s="63"/>
      <c r="H3" s="63"/>
      <c r="J3" s="46"/>
      <c r="K3" s="47" t="s">
        <v>12</v>
      </c>
      <c r="L3" s="47" t="s">
        <v>13</v>
      </c>
      <c r="M3" s="48" t="s">
        <v>12</v>
      </c>
      <c r="N3" s="49" t="s">
        <v>13</v>
      </c>
      <c r="O3" s="56"/>
    </row>
    <row r="4" spans="1:17" ht="15" thickBot="1">
      <c r="A4" s="25" t="s">
        <v>2</v>
      </c>
      <c r="B4" s="14"/>
      <c r="C4" s="14"/>
      <c r="D4" s="14"/>
      <c r="E4" s="14"/>
      <c r="F4" s="33">
        <v>5</v>
      </c>
      <c r="G4" s="63"/>
      <c r="H4" s="63"/>
      <c r="J4" s="50">
        <v>1</v>
      </c>
      <c r="K4" s="51">
        <f>F3</f>
        <v>10000</v>
      </c>
      <c r="L4" s="51">
        <f>K4*((1+rate*(1-IF(tax=10%,10.3%,IF(tax=20%,20.6%,IF(tax=30%,30.9%))))))</f>
        <v>10807.3</v>
      </c>
      <c r="M4" s="52">
        <f>F3</f>
        <v>10000</v>
      </c>
      <c r="N4" s="53">
        <f>M4*((1+rated))</f>
        <v>10900</v>
      </c>
      <c r="O4" s="56" t="e">
        <f t="shared" ref="O4:O35" si="0">IF(J4=tenure,IF(corpnoindex&lt;corpindex,corpnoindex,corpindex),NA())</f>
        <v>#N/A</v>
      </c>
    </row>
    <row r="5" spans="1:17" ht="15" thickBot="1">
      <c r="A5" s="57" t="s">
        <v>19</v>
      </c>
      <c r="B5" s="58"/>
      <c r="C5" s="58"/>
      <c r="D5" s="58"/>
      <c r="E5" s="58"/>
      <c r="F5" s="60">
        <v>0.09</v>
      </c>
      <c r="G5" s="64"/>
      <c r="H5" s="64"/>
      <c r="J5" s="50">
        <f t="shared" ref="J5:J36" si="1">IF(J4&lt;tenure,J4+1,"")</f>
        <v>2</v>
      </c>
      <c r="K5" s="51">
        <f t="shared" ref="K5:K36" si="2">IF(J5&lt;=tenure,L4,"")</f>
        <v>10807.3</v>
      </c>
      <c r="L5" s="51">
        <f t="shared" ref="L5:L36" si="3">IF(J5&lt;=tenure,K5*((1+rate*(1-IF(tax=10%,10.3%,IF(tax=20%,20.6%,IF(tax=30%,30.9%)))))),NA())</f>
        <v>11679.773329</v>
      </c>
      <c r="M5" s="52">
        <f t="shared" ref="M5:M36" si="4">IF(J5&lt;=tenure,N4,"")</f>
        <v>10900</v>
      </c>
      <c r="N5" s="53">
        <f t="shared" ref="N5:N36" si="5">IF(J5&lt;=tenure,M5*((1+rated)),NA())</f>
        <v>11881</v>
      </c>
      <c r="O5" s="56" t="e">
        <f t="shared" si="0"/>
        <v>#N/A</v>
      </c>
    </row>
    <row r="6" spans="1:17" ht="15" thickBot="1">
      <c r="A6" s="35" t="s">
        <v>18</v>
      </c>
      <c r="B6" s="21"/>
      <c r="C6" s="21"/>
      <c r="D6" s="21"/>
      <c r="E6" s="21"/>
      <c r="F6" s="59">
        <v>0.09</v>
      </c>
      <c r="G6" s="64"/>
      <c r="H6" s="64"/>
      <c r="J6" s="50">
        <f t="shared" si="1"/>
        <v>3</v>
      </c>
      <c r="K6" s="51">
        <f t="shared" si="2"/>
        <v>11679.773329</v>
      </c>
      <c r="L6" s="51">
        <f t="shared" si="3"/>
        <v>12622.681429850169</v>
      </c>
      <c r="M6" s="52">
        <f t="shared" si="4"/>
        <v>11881</v>
      </c>
      <c r="N6" s="53">
        <f t="shared" si="5"/>
        <v>12950.29</v>
      </c>
      <c r="O6" s="56" t="e">
        <f t="shared" si="0"/>
        <v>#N/A</v>
      </c>
    </row>
    <row r="7" spans="1:17">
      <c r="A7" s="9" t="s">
        <v>4</v>
      </c>
      <c r="B7" s="10"/>
      <c r="C7" s="10"/>
      <c r="D7" s="10"/>
      <c r="E7" s="10"/>
      <c r="F7" s="11"/>
      <c r="G7" s="63"/>
      <c r="H7" s="63"/>
      <c r="J7" s="50">
        <f t="shared" si="1"/>
        <v>4</v>
      </c>
      <c r="K7" s="51">
        <f t="shared" si="2"/>
        <v>12622.681429850169</v>
      </c>
      <c r="L7" s="51">
        <f t="shared" si="3"/>
        <v>13641.710501681971</v>
      </c>
      <c r="M7" s="52">
        <f t="shared" si="4"/>
        <v>12950.29</v>
      </c>
      <c r="N7" s="53">
        <f t="shared" si="5"/>
        <v>14115.816100000002</v>
      </c>
      <c r="O7" s="56" t="e">
        <f t="shared" si="0"/>
        <v>#N/A</v>
      </c>
    </row>
    <row r="8" spans="1:17" ht="15" thickBot="1">
      <c r="A8" s="30" t="s">
        <v>5</v>
      </c>
      <c r="B8" s="23"/>
      <c r="C8" s="23"/>
      <c r="D8" s="23"/>
      <c r="E8" s="24"/>
      <c r="F8" s="17">
        <v>0.1</v>
      </c>
      <c r="G8" s="65"/>
      <c r="H8" s="65"/>
      <c r="J8" s="50">
        <f t="shared" si="1"/>
        <v>5</v>
      </c>
      <c r="K8" s="51">
        <f t="shared" si="2"/>
        <v>13641.710501681971</v>
      </c>
      <c r="L8" s="51">
        <f t="shared" si="3"/>
        <v>14743.005790482757</v>
      </c>
      <c r="M8" s="52">
        <f t="shared" si="4"/>
        <v>14115.816100000002</v>
      </c>
      <c r="N8" s="53">
        <f t="shared" si="5"/>
        <v>15386.239549000004</v>
      </c>
      <c r="O8" s="56">
        <f t="shared" si="0"/>
        <v>14276.674201906004</v>
      </c>
    </row>
    <row r="9" spans="1:17">
      <c r="A9" s="18" t="s">
        <v>6</v>
      </c>
      <c r="B9" s="19"/>
      <c r="C9" s="19"/>
      <c r="D9" s="19"/>
      <c r="E9" s="19"/>
      <c r="F9" s="27"/>
      <c r="G9" s="63"/>
      <c r="H9" s="63"/>
      <c r="J9" s="50" t="str">
        <f t="shared" si="1"/>
        <v/>
      </c>
      <c r="K9" s="51" t="str">
        <f t="shared" si="2"/>
        <v/>
      </c>
      <c r="L9" s="51" t="e">
        <f t="shared" si="3"/>
        <v>#N/A</v>
      </c>
      <c r="M9" s="52" t="str">
        <f t="shared" si="4"/>
        <v/>
      </c>
      <c r="N9" s="53" t="e">
        <f t="shared" si="5"/>
        <v>#N/A</v>
      </c>
      <c r="O9" s="56" t="e">
        <f t="shared" si="0"/>
        <v>#N/A</v>
      </c>
    </row>
    <row r="10" spans="1:17">
      <c r="A10" s="16" t="s">
        <v>7</v>
      </c>
      <c r="B10" s="15"/>
      <c r="C10" s="15"/>
      <c r="D10" s="15"/>
      <c r="E10" s="15"/>
      <c r="F10" s="20"/>
      <c r="G10" s="65"/>
      <c r="H10" s="65"/>
      <c r="J10" s="50" t="str">
        <f t="shared" si="1"/>
        <v/>
      </c>
      <c r="K10" s="51" t="str">
        <f t="shared" si="2"/>
        <v/>
      </c>
      <c r="L10" s="51" t="e">
        <f t="shared" si="3"/>
        <v>#N/A</v>
      </c>
      <c r="M10" s="52" t="str">
        <f t="shared" si="4"/>
        <v/>
      </c>
      <c r="N10" s="53" t="e">
        <f t="shared" si="5"/>
        <v>#N/A</v>
      </c>
      <c r="O10" s="56" t="e">
        <f t="shared" si="0"/>
        <v>#N/A</v>
      </c>
      <c r="Q10" s="7">
        <v>0.1</v>
      </c>
    </row>
    <row r="11" spans="1:17" ht="15" thickBot="1">
      <c r="A11" s="31" t="s">
        <v>8</v>
      </c>
      <c r="B11" s="32"/>
      <c r="C11" s="32"/>
      <c r="D11" s="32"/>
      <c r="E11" s="32"/>
      <c r="F11" s="12">
        <v>0.05</v>
      </c>
      <c r="G11" s="65"/>
      <c r="H11" s="65"/>
      <c r="J11" s="50" t="str">
        <f t="shared" si="1"/>
        <v/>
      </c>
      <c r="K11" s="51" t="str">
        <f t="shared" si="2"/>
        <v/>
      </c>
      <c r="L11" s="51" t="e">
        <f t="shared" si="3"/>
        <v>#N/A</v>
      </c>
      <c r="M11" s="52" t="str">
        <f t="shared" si="4"/>
        <v/>
      </c>
      <c r="N11" s="53" t="e">
        <f t="shared" si="5"/>
        <v>#N/A</v>
      </c>
      <c r="O11" s="56" t="e">
        <f t="shared" si="0"/>
        <v>#N/A</v>
      </c>
      <c r="Q11" s="7">
        <v>0.2</v>
      </c>
    </row>
    <row r="12" spans="1:17">
      <c r="G12" s="66"/>
      <c r="H12" s="66"/>
      <c r="J12" s="50" t="str">
        <f t="shared" si="1"/>
        <v/>
      </c>
      <c r="K12" s="51" t="str">
        <f t="shared" si="2"/>
        <v/>
      </c>
      <c r="L12" s="51" t="e">
        <f t="shared" si="3"/>
        <v>#N/A</v>
      </c>
      <c r="M12" s="52" t="str">
        <f t="shared" si="4"/>
        <v/>
      </c>
      <c r="N12" s="53" t="e">
        <f t="shared" si="5"/>
        <v>#N/A</v>
      </c>
      <c r="O12" s="56" t="e">
        <f t="shared" si="0"/>
        <v>#N/A</v>
      </c>
      <c r="Q12" s="7">
        <v>0.3</v>
      </c>
    </row>
    <row r="13" spans="1:17">
      <c r="A13" s="36" t="s">
        <v>23</v>
      </c>
      <c r="B13" s="37"/>
      <c r="C13" s="70"/>
      <c r="D13" s="40">
        <f>sum*((1+rate*(1-IF(tax=10%,10.3%,IF(tax=20%,20.6%,IF(tax=30%,30.9%))))))^tenure</f>
        <v>14743.005790482755</v>
      </c>
      <c r="E13" s="62"/>
      <c r="F13" s="62"/>
      <c r="G13" s="62"/>
      <c r="H13" s="62"/>
      <c r="J13" s="50" t="str">
        <f t="shared" si="1"/>
        <v/>
      </c>
      <c r="K13" s="51" t="str">
        <f t="shared" si="2"/>
        <v/>
      </c>
      <c r="L13" s="51" t="e">
        <f t="shared" si="3"/>
        <v>#N/A</v>
      </c>
      <c r="M13" s="52" t="str">
        <f t="shared" si="4"/>
        <v/>
      </c>
      <c r="N13" s="53" t="e">
        <f t="shared" si="5"/>
        <v>#N/A</v>
      </c>
      <c r="O13" s="56" t="e">
        <f t="shared" si="0"/>
        <v>#N/A</v>
      </c>
      <c r="Q13" s="28">
        <f>IF(tax=10%,10.3%,IF(tax=20%,20.6%,IF(tax=30%,30.9%)))</f>
        <v>0.10300000000000001</v>
      </c>
    </row>
    <row r="14" spans="1:17">
      <c r="A14" s="78" t="s">
        <v>22</v>
      </c>
      <c r="B14" s="79"/>
      <c r="C14" s="79"/>
      <c r="D14" s="80"/>
      <c r="J14" s="50" t="str">
        <f t="shared" si="1"/>
        <v/>
      </c>
      <c r="K14" s="51" t="str">
        <f t="shared" si="2"/>
        <v/>
      </c>
      <c r="L14" s="51" t="e">
        <f t="shared" si="3"/>
        <v>#N/A</v>
      </c>
      <c r="M14" s="52" t="str">
        <f t="shared" si="4"/>
        <v/>
      </c>
      <c r="N14" s="53" t="e">
        <f t="shared" si="5"/>
        <v>#N/A</v>
      </c>
      <c r="O14" s="56" t="e">
        <f t="shared" si="0"/>
        <v>#N/A</v>
      </c>
    </row>
    <row r="15" spans="1:17">
      <c r="A15" s="73" t="s">
        <v>25</v>
      </c>
      <c r="B15" s="75"/>
      <c r="C15" s="75"/>
      <c r="D15" s="74">
        <f>sum*((1+rate*(1-10.3%)))^tenure</f>
        <v>14743.005790482755</v>
      </c>
      <c r="F15" s="29"/>
      <c r="G15" s="29"/>
      <c r="H15" s="29"/>
      <c r="J15" s="50" t="str">
        <f t="shared" si="1"/>
        <v/>
      </c>
      <c r="K15" s="51" t="str">
        <f t="shared" si="2"/>
        <v/>
      </c>
      <c r="L15" s="51" t="e">
        <f t="shared" si="3"/>
        <v>#N/A</v>
      </c>
      <c r="M15" s="52" t="str">
        <f t="shared" si="4"/>
        <v/>
      </c>
      <c r="N15" s="53" t="e">
        <f t="shared" si="5"/>
        <v>#N/A</v>
      </c>
      <c r="O15" s="56" t="e">
        <f t="shared" si="0"/>
        <v>#N/A</v>
      </c>
    </row>
    <row r="16" spans="1:17">
      <c r="A16" s="73" t="s">
        <v>26</v>
      </c>
      <c r="B16" s="75"/>
      <c r="C16" s="75"/>
      <c r="D16" s="74">
        <f>D15-((D15-F3)*(IF((IF(tax=10%,10.3%,IF(tax=20%,20.6%,IF(tax=30%,30.9%)))-10.3%)&lt;0,0,(IF(tax=10%,10.3%,IF(tax=20%,20.6%,IF(tax=30%,30.9%)))-10.3%))))</f>
        <v>14743.005790482755</v>
      </c>
      <c r="E16" s="21"/>
      <c r="J16" s="50" t="str">
        <f t="shared" si="1"/>
        <v/>
      </c>
      <c r="K16" s="51" t="str">
        <f t="shared" si="2"/>
        <v/>
      </c>
      <c r="L16" s="51" t="e">
        <f t="shared" si="3"/>
        <v>#N/A</v>
      </c>
      <c r="M16" s="52" t="str">
        <f t="shared" si="4"/>
        <v/>
      </c>
      <c r="N16" s="53" t="e">
        <f t="shared" si="5"/>
        <v>#N/A</v>
      </c>
      <c r="O16" s="56" t="e">
        <f t="shared" si="0"/>
        <v>#N/A</v>
      </c>
    </row>
    <row r="17" spans="1:15">
      <c r="A17" s="36" t="s">
        <v>14</v>
      </c>
      <c r="B17" s="37"/>
      <c r="C17" s="70"/>
      <c r="D17" s="40">
        <f>sumd*((1+rated))^tenure</f>
        <v>15386.239549000005</v>
      </c>
      <c r="E17" s="29" t="s">
        <v>20</v>
      </c>
      <c r="J17" s="50" t="str">
        <f t="shared" si="1"/>
        <v/>
      </c>
      <c r="K17" s="51" t="str">
        <f t="shared" si="2"/>
        <v/>
      </c>
      <c r="L17" s="51" t="e">
        <f t="shared" si="3"/>
        <v>#N/A</v>
      </c>
      <c r="M17" s="52" t="str">
        <f t="shared" si="4"/>
        <v/>
      </c>
      <c r="N17" s="53" t="e">
        <f t="shared" si="5"/>
        <v>#N/A</v>
      </c>
      <c r="O17" s="56" t="e">
        <f t="shared" si="0"/>
        <v>#N/A</v>
      </c>
    </row>
    <row r="18" spans="1:15">
      <c r="A18" s="36" t="s">
        <v>15</v>
      </c>
      <c r="B18" s="38"/>
      <c r="C18" s="71"/>
      <c r="D18" s="40">
        <f>IF(tenure&lt;=3,D17-((D17-F3)*(IF(tax=10%,10.3%,IF(tax=20%,20.6%,IF(tax=30%,30.9%))))),D17-((D17-F3)*20.6%))</f>
        <v>14276.674201906004</v>
      </c>
      <c r="E18" s="29" t="s">
        <v>20</v>
      </c>
      <c r="J18" s="50" t="str">
        <f t="shared" si="1"/>
        <v/>
      </c>
      <c r="K18" s="51" t="str">
        <f t="shared" si="2"/>
        <v/>
      </c>
      <c r="L18" s="51" t="e">
        <f t="shared" si="3"/>
        <v>#N/A</v>
      </c>
      <c r="M18" s="52" t="str">
        <f t="shared" si="4"/>
        <v/>
      </c>
      <c r="N18" s="53" t="e">
        <f t="shared" si="5"/>
        <v>#N/A</v>
      </c>
      <c r="O18" s="56" t="e">
        <f t="shared" si="0"/>
        <v>#N/A</v>
      </c>
    </row>
    <row r="19" spans="1:15">
      <c r="A19" s="36" t="s">
        <v>16</v>
      </c>
      <c r="B19" s="39"/>
      <c r="C19" s="39"/>
      <c r="D19" s="61">
        <f>IF(tenure&lt;=3,D17-((D17-F3)*(IF(tax=10%,10.3%,IF(tax=20%,20.6%,IF(tax=30%,30.9%))))),IF(D17-F3*(1+F11)^tenure&gt;0,D17-(D17-F3*(1+F11)^tenure)*20.6%,D17))</f>
        <v>14845.814220656004</v>
      </c>
      <c r="E19" s="6"/>
      <c r="J19" s="50" t="str">
        <f t="shared" si="1"/>
        <v/>
      </c>
      <c r="K19" s="51" t="str">
        <f t="shared" si="2"/>
        <v/>
      </c>
      <c r="L19" s="51" t="e">
        <f t="shared" si="3"/>
        <v>#N/A</v>
      </c>
      <c r="M19" s="52" t="str">
        <f t="shared" si="4"/>
        <v/>
      </c>
      <c r="N19" s="53" t="e">
        <f t="shared" si="5"/>
        <v>#N/A</v>
      </c>
      <c r="O19" s="56" t="e">
        <f t="shared" si="0"/>
        <v>#N/A</v>
      </c>
    </row>
    <row r="20" spans="1:15">
      <c r="A20" s="67" t="s">
        <v>21</v>
      </c>
      <c r="B20" s="6"/>
      <c r="D20" s="6"/>
      <c r="J20" s="50" t="str">
        <f t="shared" si="1"/>
        <v/>
      </c>
      <c r="K20" s="51" t="str">
        <f t="shared" si="2"/>
        <v/>
      </c>
      <c r="L20" s="51" t="e">
        <f t="shared" si="3"/>
        <v>#N/A</v>
      </c>
      <c r="M20" s="52" t="str">
        <f t="shared" si="4"/>
        <v/>
      </c>
      <c r="N20" s="53" t="e">
        <f t="shared" si="5"/>
        <v>#N/A</v>
      </c>
      <c r="O20" s="56" t="e">
        <f t="shared" si="0"/>
        <v>#N/A</v>
      </c>
    </row>
    <row r="21" spans="1:15">
      <c r="J21" s="50" t="str">
        <f t="shared" si="1"/>
        <v/>
      </c>
      <c r="K21" s="51" t="str">
        <f t="shared" si="2"/>
        <v/>
      </c>
      <c r="L21" s="51" t="e">
        <f t="shared" si="3"/>
        <v>#N/A</v>
      </c>
      <c r="M21" s="52" t="str">
        <f t="shared" si="4"/>
        <v/>
      </c>
      <c r="N21" s="53" t="e">
        <f t="shared" si="5"/>
        <v>#N/A</v>
      </c>
      <c r="O21" s="56" t="e">
        <f t="shared" si="0"/>
        <v>#N/A</v>
      </c>
    </row>
    <row r="22" spans="1:15">
      <c r="J22" s="50" t="str">
        <f t="shared" si="1"/>
        <v/>
      </c>
      <c r="K22" s="51" t="str">
        <f t="shared" si="2"/>
        <v/>
      </c>
      <c r="L22" s="51" t="e">
        <f t="shared" si="3"/>
        <v>#N/A</v>
      </c>
      <c r="M22" s="52" t="str">
        <f t="shared" si="4"/>
        <v/>
      </c>
      <c r="N22" s="53" t="e">
        <f t="shared" si="5"/>
        <v>#N/A</v>
      </c>
      <c r="O22" s="56" t="e">
        <f t="shared" si="0"/>
        <v>#N/A</v>
      </c>
    </row>
    <row r="23" spans="1:15">
      <c r="J23" s="50" t="str">
        <f t="shared" si="1"/>
        <v/>
      </c>
      <c r="K23" s="51" t="str">
        <f t="shared" si="2"/>
        <v/>
      </c>
      <c r="L23" s="51" t="e">
        <f t="shared" si="3"/>
        <v>#N/A</v>
      </c>
      <c r="M23" s="52" t="str">
        <f t="shared" si="4"/>
        <v/>
      </c>
      <c r="N23" s="53" t="e">
        <f t="shared" si="5"/>
        <v>#N/A</v>
      </c>
      <c r="O23" s="56" t="e">
        <f t="shared" si="0"/>
        <v>#N/A</v>
      </c>
    </row>
    <row r="24" spans="1:15">
      <c r="J24" s="50" t="str">
        <f t="shared" si="1"/>
        <v/>
      </c>
      <c r="K24" s="51" t="str">
        <f t="shared" si="2"/>
        <v/>
      </c>
      <c r="L24" s="51" t="e">
        <f t="shared" si="3"/>
        <v>#N/A</v>
      </c>
      <c r="M24" s="52" t="str">
        <f t="shared" si="4"/>
        <v/>
      </c>
      <c r="N24" s="53" t="e">
        <f t="shared" si="5"/>
        <v>#N/A</v>
      </c>
      <c r="O24" s="56" t="e">
        <f t="shared" si="0"/>
        <v>#N/A</v>
      </c>
    </row>
    <row r="25" spans="1:15">
      <c r="J25" s="50" t="str">
        <f t="shared" si="1"/>
        <v/>
      </c>
      <c r="K25" s="51" t="str">
        <f t="shared" si="2"/>
        <v/>
      </c>
      <c r="L25" s="51" t="e">
        <f t="shared" si="3"/>
        <v>#N/A</v>
      </c>
      <c r="M25" s="52" t="str">
        <f t="shared" si="4"/>
        <v/>
      </c>
      <c r="N25" s="53" t="e">
        <f t="shared" si="5"/>
        <v>#N/A</v>
      </c>
      <c r="O25" s="56" t="e">
        <f t="shared" si="0"/>
        <v>#N/A</v>
      </c>
    </row>
    <row r="26" spans="1:15">
      <c r="J26" s="50" t="str">
        <f t="shared" si="1"/>
        <v/>
      </c>
      <c r="K26" s="51" t="str">
        <f t="shared" si="2"/>
        <v/>
      </c>
      <c r="L26" s="51" t="e">
        <f t="shared" si="3"/>
        <v>#N/A</v>
      </c>
      <c r="M26" s="52" t="str">
        <f t="shared" si="4"/>
        <v/>
      </c>
      <c r="N26" s="53" t="e">
        <f t="shared" si="5"/>
        <v>#N/A</v>
      </c>
      <c r="O26" s="56" t="e">
        <f t="shared" si="0"/>
        <v>#N/A</v>
      </c>
    </row>
    <row r="27" spans="1:15">
      <c r="J27" s="50" t="str">
        <f t="shared" si="1"/>
        <v/>
      </c>
      <c r="K27" s="51" t="str">
        <f t="shared" si="2"/>
        <v/>
      </c>
      <c r="L27" s="51" t="e">
        <f t="shared" si="3"/>
        <v>#N/A</v>
      </c>
      <c r="M27" s="52" t="str">
        <f t="shared" si="4"/>
        <v/>
      </c>
      <c r="N27" s="53" t="e">
        <f t="shared" si="5"/>
        <v>#N/A</v>
      </c>
      <c r="O27" s="56" t="e">
        <f t="shared" si="0"/>
        <v>#N/A</v>
      </c>
    </row>
    <row r="28" spans="1:15">
      <c r="J28" s="50" t="str">
        <f t="shared" si="1"/>
        <v/>
      </c>
      <c r="K28" s="51" t="str">
        <f t="shared" si="2"/>
        <v/>
      </c>
      <c r="L28" s="51" t="e">
        <f t="shared" si="3"/>
        <v>#N/A</v>
      </c>
      <c r="M28" s="52" t="str">
        <f t="shared" si="4"/>
        <v/>
      </c>
      <c r="N28" s="53" t="e">
        <f t="shared" si="5"/>
        <v>#N/A</v>
      </c>
      <c r="O28" s="56" t="e">
        <f t="shared" si="0"/>
        <v>#N/A</v>
      </c>
    </row>
    <row r="29" spans="1:15">
      <c r="J29" s="50" t="str">
        <f t="shared" si="1"/>
        <v/>
      </c>
      <c r="K29" s="51" t="str">
        <f t="shared" si="2"/>
        <v/>
      </c>
      <c r="L29" s="51" t="e">
        <f t="shared" si="3"/>
        <v>#N/A</v>
      </c>
      <c r="M29" s="52" t="str">
        <f t="shared" si="4"/>
        <v/>
      </c>
      <c r="N29" s="53" t="e">
        <f t="shared" si="5"/>
        <v>#N/A</v>
      </c>
      <c r="O29" s="56" t="e">
        <f t="shared" si="0"/>
        <v>#N/A</v>
      </c>
    </row>
    <row r="30" spans="1:15">
      <c r="J30" s="50" t="str">
        <f t="shared" si="1"/>
        <v/>
      </c>
      <c r="K30" s="51" t="str">
        <f t="shared" si="2"/>
        <v/>
      </c>
      <c r="L30" s="51" t="e">
        <f t="shared" si="3"/>
        <v>#N/A</v>
      </c>
      <c r="M30" s="52" t="str">
        <f t="shared" si="4"/>
        <v/>
      </c>
      <c r="N30" s="53" t="e">
        <f t="shared" si="5"/>
        <v>#N/A</v>
      </c>
      <c r="O30" s="56" t="e">
        <f t="shared" si="0"/>
        <v>#N/A</v>
      </c>
    </row>
    <row r="31" spans="1:15">
      <c r="J31" s="50" t="str">
        <f t="shared" si="1"/>
        <v/>
      </c>
      <c r="K31" s="51" t="str">
        <f t="shared" si="2"/>
        <v/>
      </c>
      <c r="L31" s="51" t="e">
        <f t="shared" si="3"/>
        <v>#N/A</v>
      </c>
      <c r="M31" s="52" t="str">
        <f t="shared" si="4"/>
        <v/>
      </c>
      <c r="N31" s="53" t="e">
        <f t="shared" si="5"/>
        <v>#N/A</v>
      </c>
      <c r="O31" s="56" t="e">
        <f t="shared" si="0"/>
        <v>#N/A</v>
      </c>
    </row>
    <row r="32" spans="1:15">
      <c r="J32" s="50" t="str">
        <f t="shared" si="1"/>
        <v/>
      </c>
      <c r="K32" s="51" t="str">
        <f t="shared" si="2"/>
        <v/>
      </c>
      <c r="L32" s="51" t="e">
        <f t="shared" si="3"/>
        <v>#N/A</v>
      </c>
      <c r="M32" s="52" t="str">
        <f t="shared" si="4"/>
        <v/>
      </c>
      <c r="N32" s="53" t="e">
        <f t="shared" si="5"/>
        <v>#N/A</v>
      </c>
      <c r="O32" s="56" t="e">
        <f t="shared" si="0"/>
        <v>#N/A</v>
      </c>
    </row>
    <row r="33" spans="2:15">
      <c r="J33" s="50" t="str">
        <f t="shared" si="1"/>
        <v/>
      </c>
      <c r="K33" s="51" t="str">
        <f t="shared" si="2"/>
        <v/>
      </c>
      <c r="L33" s="51" t="e">
        <f t="shared" si="3"/>
        <v>#N/A</v>
      </c>
      <c r="M33" s="52" t="str">
        <f t="shared" si="4"/>
        <v/>
      </c>
      <c r="N33" s="53" t="e">
        <f t="shared" si="5"/>
        <v>#N/A</v>
      </c>
      <c r="O33" s="56" t="e">
        <f t="shared" si="0"/>
        <v>#N/A</v>
      </c>
    </row>
    <row r="34" spans="2:15">
      <c r="J34" s="50" t="str">
        <f t="shared" si="1"/>
        <v/>
      </c>
      <c r="K34" s="51" t="str">
        <f t="shared" si="2"/>
        <v/>
      </c>
      <c r="L34" s="51" t="e">
        <f t="shared" si="3"/>
        <v>#N/A</v>
      </c>
      <c r="M34" s="52" t="str">
        <f t="shared" si="4"/>
        <v/>
      </c>
      <c r="N34" s="53" t="e">
        <f t="shared" si="5"/>
        <v>#N/A</v>
      </c>
      <c r="O34" s="56" t="e">
        <f t="shared" si="0"/>
        <v>#N/A</v>
      </c>
    </row>
    <row r="35" spans="2:15">
      <c r="J35" s="50" t="str">
        <f t="shared" si="1"/>
        <v/>
      </c>
      <c r="K35" s="51" t="str">
        <f t="shared" si="2"/>
        <v/>
      </c>
      <c r="L35" s="51" t="e">
        <f t="shared" si="3"/>
        <v>#N/A</v>
      </c>
      <c r="M35" s="52" t="str">
        <f t="shared" si="4"/>
        <v/>
      </c>
      <c r="N35" s="53" t="e">
        <f t="shared" si="5"/>
        <v>#N/A</v>
      </c>
      <c r="O35" s="56" t="e">
        <f t="shared" si="0"/>
        <v>#N/A</v>
      </c>
    </row>
    <row r="36" spans="2:15">
      <c r="J36" s="50" t="str">
        <f t="shared" si="1"/>
        <v/>
      </c>
      <c r="K36" s="51" t="str">
        <f t="shared" si="2"/>
        <v/>
      </c>
      <c r="L36" s="51" t="e">
        <f t="shared" si="3"/>
        <v>#N/A</v>
      </c>
      <c r="M36" s="52" t="str">
        <f t="shared" si="4"/>
        <v/>
      </c>
      <c r="N36" s="53" t="e">
        <f t="shared" si="5"/>
        <v>#N/A</v>
      </c>
      <c r="O36" s="56" t="e">
        <f t="shared" ref="O36:O53" si="6">IF(J36=tenure,IF(corpnoindex&lt;corpindex,corpnoindex,corpindex),NA())</f>
        <v>#N/A</v>
      </c>
    </row>
    <row r="37" spans="2:15">
      <c r="J37" s="50" t="str">
        <f t="shared" ref="J37:J53" si="7">IF(J36&lt;tenure,J36+1,"")</f>
        <v/>
      </c>
      <c r="K37" s="51" t="str">
        <f t="shared" ref="K37:K53" si="8">IF(J37&lt;=tenure,L36,"")</f>
        <v/>
      </c>
      <c r="L37" s="51" t="e">
        <f t="shared" ref="L37:L53" si="9">IF(J37&lt;=tenure,K37*((1+rate*(1-IF(tax=10%,10.3%,IF(tax=20%,20.6%,IF(tax=30%,30.9%)))))),NA())</f>
        <v>#N/A</v>
      </c>
      <c r="M37" s="52" t="str">
        <f t="shared" ref="M37:M53" si="10">IF(J37&lt;=tenure,N36,"")</f>
        <v/>
      </c>
      <c r="N37" s="53" t="e">
        <f t="shared" ref="N37:N53" si="11">IF(J37&lt;=tenure,M37*((1+rated)),NA())</f>
        <v>#N/A</v>
      </c>
      <c r="O37" s="56" t="e">
        <f t="shared" si="6"/>
        <v>#N/A</v>
      </c>
    </row>
    <row r="38" spans="2:15">
      <c r="J38" s="50" t="str">
        <f t="shared" si="7"/>
        <v/>
      </c>
      <c r="K38" s="51" t="str">
        <f t="shared" si="8"/>
        <v/>
      </c>
      <c r="L38" s="51" t="e">
        <f t="shared" si="9"/>
        <v>#N/A</v>
      </c>
      <c r="M38" s="52" t="str">
        <f t="shared" si="10"/>
        <v/>
      </c>
      <c r="N38" s="53" t="e">
        <f t="shared" si="11"/>
        <v>#N/A</v>
      </c>
      <c r="O38" s="56" t="e">
        <f t="shared" si="6"/>
        <v>#N/A</v>
      </c>
    </row>
    <row r="39" spans="2:15">
      <c r="J39" s="50" t="str">
        <f t="shared" si="7"/>
        <v/>
      </c>
      <c r="K39" s="51" t="str">
        <f t="shared" si="8"/>
        <v/>
      </c>
      <c r="L39" s="51" t="e">
        <f t="shared" si="9"/>
        <v>#N/A</v>
      </c>
      <c r="M39" s="52" t="str">
        <f t="shared" si="10"/>
        <v/>
      </c>
      <c r="N39" s="53" t="e">
        <f t="shared" si="11"/>
        <v>#N/A</v>
      </c>
      <c r="O39" s="56" t="e">
        <f t="shared" si="6"/>
        <v>#N/A</v>
      </c>
    </row>
    <row r="40" spans="2:15">
      <c r="J40" s="50" t="str">
        <f t="shared" si="7"/>
        <v/>
      </c>
      <c r="K40" s="51" t="str">
        <f t="shared" si="8"/>
        <v/>
      </c>
      <c r="L40" s="51" t="e">
        <f t="shared" si="9"/>
        <v>#N/A</v>
      </c>
      <c r="M40" s="52" t="str">
        <f t="shared" si="10"/>
        <v/>
      </c>
      <c r="N40" s="53" t="e">
        <f t="shared" si="11"/>
        <v>#N/A</v>
      </c>
      <c r="O40" s="56" t="e">
        <f t="shared" si="6"/>
        <v>#N/A</v>
      </c>
    </row>
    <row r="41" spans="2:15">
      <c r="J41" s="50" t="str">
        <f t="shared" si="7"/>
        <v/>
      </c>
      <c r="K41" s="51" t="str">
        <f t="shared" si="8"/>
        <v/>
      </c>
      <c r="L41" s="51" t="e">
        <f t="shared" si="9"/>
        <v>#N/A</v>
      </c>
      <c r="M41" s="52" t="str">
        <f t="shared" si="10"/>
        <v/>
      </c>
      <c r="N41" s="53" t="e">
        <f t="shared" si="11"/>
        <v>#N/A</v>
      </c>
      <c r="O41" s="56" t="e">
        <f t="shared" si="6"/>
        <v>#N/A</v>
      </c>
    </row>
    <row r="42" spans="2:15">
      <c r="B42" s="68"/>
      <c r="C42" s="68"/>
      <c r="D42" s="68"/>
      <c r="J42" s="50" t="str">
        <f t="shared" si="7"/>
        <v/>
      </c>
      <c r="K42" s="51" t="str">
        <f t="shared" si="8"/>
        <v/>
      </c>
      <c r="L42" s="51" t="e">
        <f t="shared" si="9"/>
        <v>#N/A</v>
      </c>
      <c r="M42" s="52" t="str">
        <f t="shared" si="10"/>
        <v/>
      </c>
      <c r="N42" s="53" t="e">
        <f t="shared" si="11"/>
        <v>#N/A</v>
      </c>
      <c r="O42" s="56" t="e">
        <f t="shared" si="6"/>
        <v>#N/A</v>
      </c>
    </row>
    <row r="43" spans="2:15">
      <c r="J43" s="50" t="str">
        <f t="shared" si="7"/>
        <v/>
      </c>
      <c r="K43" s="51" t="str">
        <f t="shared" si="8"/>
        <v/>
      </c>
      <c r="L43" s="51" t="e">
        <f t="shared" si="9"/>
        <v>#N/A</v>
      </c>
      <c r="M43" s="52" t="str">
        <f t="shared" si="10"/>
        <v/>
      </c>
      <c r="N43" s="53" t="e">
        <f t="shared" si="11"/>
        <v>#N/A</v>
      </c>
      <c r="O43" s="56" t="e">
        <f t="shared" si="6"/>
        <v>#N/A</v>
      </c>
    </row>
    <row r="44" spans="2:15">
      <c r="B44" s="69"/>
      <c r="C44" s="69"/>
      <c r="D44" s="69"/>
      <c r="J44" s="50" t="str">
        <f t="shared" si="7"/>
        <v/>
      </c>
      <c r="K44" s="51" t="str">
        <f t="shared" si="8"/>
        <v/>
      </c>
      <c r="L44" s="51" t="e">
        <f t="shared" si="9"/>
        <v>#N/A</v>
      </c>
      <c r="M44" s="52" t="str">
        <f t="shared" si="10"/>
        <v/>
      </c>
      <c r="N44" s="53" t="e">
        <f t="shared" si="11"/>
        <v>#N/A</v>
      </c>
      <c r="O44" s="56" t="e">
        <f t="shared" si="6"/>
        <v>#N/A</v>
      </c>
    </row>
    <row r="45" spans="2:15">
      <c r="B45" s="69"/>
      <c r="C45" s="69"/>
      <c r="D45" s="69"/>
      <c r="J45" s="50" t="str">
        <f t="shared" si="7"/>
        <v/>
      </c>
      <c r="K45" s="51" t="str">
        <f t="shared" si="8"/>
        <v/>
      </c>
      <c r="L45" s="51" t="e">
        <f t="shared" si="9"/>
        <v>#N/A</v>
      </c>
      <c r="M45" s="52" t="str">
        <f t="shared" si="10"/>
        <v/>
      </c>
      <c r="N45" s="53" t="e">
        <f t="shared" si="11"/>
        <v>#N/A</v>
      </c>
      <c r="O45" s="56" t="e">
        <f t="shared" si="6"/>
        <v>#N/A</v>
      </c>
    </row>
    <row r="46" spans="2:15">
      <c r="J46" s="50" t="str">
        <f t="shared" si="7"/>
        <v/>
      </c>
      <c r="K46" s="51" t="str">
        <f t="shared" si="8"/>
        <v/>
      </c>
      <c r="L46" s="51" t="e">
        <f t="shared" si="9"/>
        <v>#N/A</v>
      </c>
      <c r="M46" s="52" t="str">
        <f t="shared" si="10"/>
        <v/>
      </c>
      <c r="N46" s="53" t="e">
        <f t="shared" si="11"/>
        <v>#N/A</v>
      </c>
      <c r="O46" s="56" t="e">
        <f t="shared" si="6"/>
        <v>#N/A</v>
      </c>
    </row>
    <row r="47" spans="2:15">
      <c r="J47" s="50" t="str">
        <f t="shared" si="7"/>
        <v/>
      </c>
      <c r="K47" s="51" t="str">
        <f t="shared" si="8"/>
        <v/>
      </c>
      <c r="L47" s="51" t="e">
        <f t="shared" si="9"/>
        <v>#N/A</v>
      </c>
      <c r="M47" s="52" t="str">
        <f t="shared" si="10"/>
        <v/>
      </c>
      <c r="N47" s="53" t="e">
        <f t="shared" si="11"/>
        <v>#N/A</v>
      </c>
      <c r="O47" s="56" t="e">
        <f t="shared" si="6"/>
        <v>#N/A</v>
      </c>
    </row>
    <row r="48" spans="2:15">
      <c r="J48" s="50" t="str">
        <f t="shared" si="7"/>
        <v/>
      </c>
      <c r="K48" s="51" t="str">
        <f t="shared" si="8"/>
        <v/>
      </c>
      <c r="L48" s="51" t="e">
        <f t="shared" si="9"/>
        <v>#N/A</v>
      </c>
      <c r="M48" s="52" t="str">
        <f t="shared" si="10"/>
        <v/>
      </c>
      <c r="N48" s="53" t="e">
        <f t="shared" si="11"/>
        <v>#N/A</v>
      </c>
      <c r="O48" s="56" t="e">
        <f t="shared" si="6"/>
        <v>#N/A</v>
      </c>
    </row>
    <row r="49" spans="10:15">
      <c r="J49" s="50" t="str">
        <f t="shared" si="7"/>
        <v/>
      </c>
      <c r="K49" s="51" t="str">
        <f t="shared" si="8"/>
        <v/>
      </c>
      <c r="L49" s="51" t="e">
        <f t="shared" si="9"/>
        <v>#N/A</v>
      </c>
      <c r="M49" s="52" t="str">
        <f t="shared" si="10"/>
        <v/>
      </c>
      <c r="N49" s="53" t="e">
        <f t="shared" si="11"/>
        <v>#N/A</v>
      </c>
      <c r="O49" s="56" t="e">
        <f t="shared" si="6"/>
        <v>#N/A</v>
      </c>
    </row>
    <row r="50" spans="10:15">
      <c r="J50" s="50" t="str">
        <f t="shared" si="7"/>
        <v/>
      </c>
      <c r="K50" s="51" t="str">
        <f t="shared" si="8"/>
        <v/>
      </c>
      <c r="L50" s="51" t="e">
        <f t="shared" si="9"/>
        <v>#N/A</v>
      </c>
      <c r="M50" s="52" t="str">
        <f t="shared" si="10"/>
        <v/>
      </c>
      <c r="N50" s="53" t="e">
        <f t="shared" si="11"/>
        <v>#N/A</v>
      </c>
      <c r="O50" s="56" t="e">
        <f t="shared" si="6"/>
        <v>#N/A</v>
      </c>
    </row>
    <row r="51" spans="10:15">
      <c r="J51" s="50" t="str">
        <f t="shared" si="7"/>
        <v/>
      </c>
      <c r="K51" s="51" t="str">
        <f t="shared" si="8"/>
        <v/>
      </c>
      <c r="L51" s="51" t="e">
        <f t="shared" si="9"/>
        <v>#N/A</v>
      </c>
      <c r="M51" s="52" t="str">
        <f t="shared" si="10"/>
        <v/>
      </c>
      <c r="N51" s="53" t="e">
        <f t="shared" si="11"/>
        <v>#N/A</v>
      </c>
      <c r="O51" s="56" t="e">
        <f t="shared" si="6"/>
        <v>#N/A</v>
      </c>
    </row>
    <row r="52" spans="10:15">
      <c r="J52" s="50" t="str">
        <f t="shared" si="7"/>
        <v/>
      </c>
      <c r="K52" s="51" t="str">
        <f t="shared" si="8"/>
        <v/>
      </c>
      <c r="L52" s="51" t="e">
        <f t="shared" si="9"/>
        <v>#N/A</v>
      </c>
      <c r="M52" s="52" t="str">
        <f t="shared" si="10"/>
        <v/>
      </c>
      <c r="N52" s="53" t="e">
        <f t="shared" si="11"/>
        <v>#N/A</v>
      </c>
      <c r="O52" s="56" t="e">
        <f t="shared" si="6"/>
        <v>#N/A</v>
      </c>
    </row>
    <row r="53" spans="10:15">
      <c r="J53" s="54" t="str">
        <f t="shared" si="7"/>
        <v/>
      </c>
      <c r="K53" s="51" t="str">
        <f t="shared" si="8"/>
        <v/>
      </c>
      <c r="L53" s="51" t="e">
        <f t="shared" si="9"/>
        <v>#N/A</v>
      </c>
      <c r="M53" s="55" t="str">
        <f t="shared" si="10"/>
        <v/>
      </c>
      <c r="N53" s="53" t="e">
        <f t="shared" si="11"/>
        <v>#N/A</v>
      </c>
      <c r="O53" s="56" t="e">
        <f t="shared" si="6"/>
        <v>#N/A</v>
      </c>
    </row>
  </sheetData>
  <mergeCells count="1">
    <mergeCell ref="A14:D14"/>
  </mergeCells>
  <conditionalFormatting sqref="J4:N53">
    <cfRule type="cellIs" dxfId="17" priority="2" operator="equal">
      <formula>ISERROR(K4)</formula>
    </cfRule>
  </conditionalFormatting>
  <dataValidations disablePrompts="1" count="1">
    <dataValidation type="list" allowBlank="1" showInputMessage="1" showErrorMessage="1" sqref="F10:H10 F8:H8">
      <formula1>$Q$10:$Q$12</formula1>
    </dataValidation>
  </dataValidations>
  <pageMargins left="0.7" right="0.7" top="0.75" bottom="0.75" header="0.3" footer="0.3"/>
  <pageSetup orientation="portrait" r:id="rId1"/>
  <ignoredErrors>
    <ignoredError sqref="J2:N3 J6:M53 J4:M4 J5:M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9" zoomScale="55" zoomScaleNormal="55" workbookViewId="0">
      <selection activeCell="G3" sqref="G3:G25"/>
    </sheetView>
  </sheetViews>
  <sheetFormatPr defaultRowHeight="14.4"/>
  <cols>
    <col min="2" max="2" width="46.6640625" customWidth="1"/>
    <col min="4" max="4" width="44.109375" bestFit="1" customWidth="1"/>
    <col min="5" max="5" width="14.88671875" bestFit="1" customWidth="1"/>
    <col min="7" max="7" width="57.21875" bestFit="1" customWidth="1"/>
  </cols>
  <sheetData>
    <row r="1" spans="1:7">
      <c r="A1" t="s">
        <v>24</v>
      </c>
      <c r="B1" s="36" t="s">
        <v>23</v>
      </c>
      <c r="D1" t="s">
        <v>15</v>
      </c>
      <c r="E1" t="s">
        <v>16</v>
      </c>
      <c r="G1" t="s">
        <v>22</v>
      </c>
    </row>
    <row r="2" spans="1:7">
      <c r="A2">
        <v>1</v>
      </c>
      <c r="B2" s="72">
        <f t="shared" ref="B2:B25" si="0">sum*((1+rate*(1-IF(tax=10%,10.3%,IF(tax=20%,20.6%,IF(tax=30%,30.9%))))))^A2</f>
        <v>10807.3</v>
      </c>
      <c r="D2" s="72">
        <f>IF(A2&lt;=3,(sumd*((1+rated))^A2)-(((sumd*((1+rated))^A2)-Sheet1!$F$3)*(IF(tax=10%,10.3%,IF(tax=20%,20.6%,IF(tax=30%,30.9%))))),(sumd*((1+rated))^A2)-(((sumd*((1+rated))^A2)-Sheet1!$F$3)*20.6%))</f>
        <v>10807.3</v>
      </c>
      <c r="E2" s="72">
        <f>IF(A2&lt;=3,(sumd*((1+rated))^A2)-(((sumd*((1+rated))^A2)-Sheet1!$F$3)*(IF(tax=10%,10.3%,IF(tax=20%,20.6%,IF(tax=30%,30.9%))))),IF((sumd*((1+rated))^A2)-Sheet1!$F$3*(1+F11)^A2&gt;0,(sumd*((1+rated))^A2)-((sumd*((1+rated))^A2)-Sheet1!$F$3*(1+Sheet1!$F$11)^A2)*20.6%,(sumd*((1+rated))^A2)))</f>
        <v>10807.3</v>
      </c>
      <c r="G2" s="72">
        <f>(sum*((1+rate*(1-10.3%)))^A2)-(((sum*((1+rate*(1-10.3%)))^A2)-Sheet1!$F$3)*(IF((IF(tax=10%,10.3%,IF(tax=20%,20.6%,IF(tax=30%,30.9%)))-10.3%)&lt;0,0,(IF(tax=10%,10.3%,IF(tax=20%,20.6%,IF(tax=30%,30.9%)))-10.3%))))</f>
        <v>10807.3</v>
      </c>
    </row>
    <row r="3" spans="1:7">
      <c r="A3">
        <f>A2+1</f>
        <v>2</v>
      </c>
      <c r="B3" s="72">
        <f t="shared" si="0"/>
        <v>11679.773328999998</v>
      </c>
      <c r="D3" s="72">
        <f>IF(A3&lt;=3,(sumd*((1+rated))^A3)-(((sumd*((1+rated))^A3)-Sheet1!$F$3)*(IF(tax=10%,10.3%,IF(tax=20%,20.6%,IF(tax=30%,30.9%))))),(sumd*((1+rated))^A3)-(((sumd*((1+rated))^A3)-Sheet1!$F$3)*20.6%))</f>
        <v>11687.257000000001</v>
      </c>
      <c r="E3" s="72">
        <f>IF(A3&lt;=3,(sumd*((1+rated))^A3)-(((sumd*((1+rated))^A3)-Sheet1!$F$3)*(IF(tax=10%,10.3%,IF(tax=20%,20.6%,IF(tax=30%,30.9%))))),IF((sumd*((1+rated))^A3)-Sheet1!$F$3*(1+F12)^A3&gt;0,(sumd*((1+rated))^A3)-((sumd*((1+rated))^A3)-Sheet1!$F$3*(1+Sheet1!$F$11)^A3)*20.6%,(sumd*((1+rated))^A3)))</f>
        <v>11687.257000000001</v>
      </c>
      <c r="G3" s="72">
        <f>(sum*((1+rate*(1-10.3%)))^A3)-(((sum*((1+rate*(1-10.3%)))^A3)-Sheet1!$F$3)*(IF((IF(tax=10%,10.3%,IF(tax=20%,20.6%,IF(tax=30%,30.9%)))-10.3%)&lt;0,0,(IF(tax=10%,10.3%,IF(tax=20%,20.6%,IF(tax=30%,30.9%)))-10.3%))))</f>
        <v>11679.773328999998</v>
      </c>
    </row>
    <row r="4" spans="1:7">
      <c r="A4">
        <f t="shared" ref="A4:A25" si="1">A3+1</f>
        <v>3</v>
      </c>
      <c r="B4" s="72">
        <f t="shared" si="0"/>
        <v>12622.681429850169</v>
      </c>
      <c r="D4" s="72">
        <f>IF(A4&lt;=3,(sumd*((1+rated))^A4)-(((sumd*((1+rated))^A4)-Sheet1!$F$3)*(IF(tax=10%,10.3%,IF(tax=20%,20.6%,IF(tax=30%,30.9%))))),(sumd*((1+rated))^A4)-(((sumd*((1+rated))^A4)-Sheet1!$F$3)*20.6%))</f>
        <v>12646.410130000002</v>
      </c>
      <c r="E4" s="72">
        <f>IF(A4&lt;=3,(sumd*((1+rated))^A4)-(((sumd*((1+rated))^A4)-Sheet1!$F$3)*(IF(tax=10%,10.3%,IF(tax=20%,20.6%,IF(tax=30%,30.9%))))),IF((sumd*((1+rated))^A4)-Sheet1!$F$3*(1+F13)^A4&gt;0,(sumd*((1+rated))^A4)-((sumd*((1+rated))^A4)-Sheet1!$F$3*(1+Sheet1!$F$11)^A4)*20.6%,(sumd*((1+rated))^A4)))</f>
        <v>12646.410130000002</v>
      </c>
      <c r="G4" s="72">
        <f>(sum*((1+rate*(1-10.3%)))^A4)-(((sum*((1+rate*(1-10.3%)))^A4)-Sheet1!$F$3)*(IF((IF(tax=10%,10.3%,IF(tax=20%,20.6%,IF(tax=30%,30.9%)))-10.3%)&lt;0,0,(IF(tax=10%,10.3%,IF(tax=20%,20.6%,IF(tax=30%,30.9%)))-10.3%))))</f>
        <v>12622.681429850169</v>
      </c>
    </row>
    <row r="5" spans="1:7">
      <c r="A5">
        <f t="shared" si="1"/>
        <v>4</v>
      </c>
      <c r="B5" s="72">
        <f t="shared" si="0"/>
        <v>13641.71050168197</v>
      </c>
      <c r="D5" s="72">
        <f>IF(A5&lt;=3,(sumd*((1+rated))^A5)-(((sumd*((1+rated))^A5)-Sheet1!$F$3)*(IF(tax=10%,10.3%,IF(tax=20%,20.6%,IF(tax=30%,30.9%))))),(sumd*((1+rated))^A5)-(((sumd*((1+rated))^A5)-Sheet1!$F$3)*20.6%))</f>
        <v>13267.957983400001</v>
      </c>
      <c r="E5" s="72">
        <f>IF(A5&lt;=3,(sumd*((1+rated))^A5)-(((sumd*((1+rated))^A5)-Sheet1!$F$3)*(IF(tax=10%,10.3%,IF(tax=20%,20.6%,IF(tax=30%,30.9%))))),IF((sumd*((1+rated))^A5)-Sheet1!$F$3*(1+F14)^A5&gt;0,(sumd*((1+rated))^A5)-((sumd*((1+rated))^A5)-Sheet1!$F$3*(1+Sheet1!$F$11)^A5)*20.6%,(sumd*((1+rated))^A5)))</f>
        <v>13711.900858400002</v>
      </c>
      <c r="G5" s="72">
        <f>(sum*((1+rate*(1-10.3%)))^A5)-(((sum*((1+rate*(1-10.3%)))^A5)-Sheet1!$F$3)*(IF((IF(tax=10%,10.3%,IF(tax=20%,20.6%,IF(tax=30%,30.9%)))-10.3%)&lt;0,0,(IF(tax=10%,10.3%,IF(tax=20%,20.6%,IF(tax=30%,30.9%)))-10.3%))))</f>
        <v>13641.71050168197</v>
      </c>
    </row>
    <row r="6" spans="1:7">
      <c r="A6">
        <f t="shared" si="1"/>
        <v>5</v>
      </c>
      <c r="B6" s="72">
        <f t="shared" si="0"/>
        <v>14743.005790482755</v>
      </c>
      <c r="D6" s="72">
        <f>IF(A6&lt;=3,(sumd*((1+rated))^A6)-(((sumd*((1+rated))^A6)-Sheet1!$F$3)*(IF(tax=10%,10.3%,IF(tax=20%,20.6%,IF(tax=30%,30.9%))))),(sumd*((1+rated))^A6)-(((sumd*((1+rated))^A6)-Sheet1!$F$3)*20.6%))</f>
        <v>14276.674201906004</v>
      </c>
      <c r="E6" s="72">
        <f>IF(A6&lt;=3,(sumd*((1+rated))^A6)-(((sumd*((1+rated))^A6)-Sheet1!$F$3)*(IF(tax=10%,10.3%,IF(tax=20%,20.6%,IF(tax=30%,30.9%))))),IF((sumd*((1+rated))^A6)-Sheet1!$F$3*(1+F15)^A6&gt;0,(sumd*((1+rated))^A6)-((sumd*((1+rated))^A6)-Sheet1!$F$3*(1+Sheet1!$F$11)^A6)*20.6%,(sumd*((1+rated))^A6)))</f>
        <v>14845.814220656004</v>
      </c>
      <c r="G6" s="72">
        <f>(sum*((1+rate*(1-10.3%)))^A6)-(((sum*((1+rate*(1-10.3%)))^A6)-Sheet1!$F$3)*(IF((IF(tax=10%,10.3%,IF(tax=20%,20.6%,IF(tax=30%,30.9%)))-10.3%)&lt;0,0,(IF(tax=10%,10.3%,IF(tax=20%,20.6%,IF(tax=30%,30.9%)))-10.3%))))</f>
        <v>14743.005790482755</v>
      </c>
    </row>
    <row r="7" spans="1:7">
      <c r="A7">
        <f t="shared" si="1"/>
        <v>6</v>
      </c>
      <c r="B7" s="72">
        <f t="shared" si="0"/>
        <v>15933.208647948424</v>
      </c>
      <c r="D7" s="72">
        <f>IF(A7&lt;=3,(sumd*((1+rated))^A7)-(((sumd*((1+rated))^A7)-Sheet1!$F$3)*(IF(tax=10%,10.3%,IF(tax=20%,20.6%,IF(tax=30%,30.9%))))),(sumd*((1+rated))^A7)-(((sumd*((1+rated))^A7)-Sheet1!$F$3)*20.6%))</f>
        <v>15376.174880077546</v>
      </c>
      <c r="E7" s="72">
        <f>IF(A7&lt;=3,(sumd*((1+rated))^A7)-(((sumd*((1+rated))^A7)-Sheet1!$F$3)*(IF(tax=10%,10.3%,IF(tax=20%,20.6%,IF(tax=30%,30.9%))))),IF((sumd*((1+rated))^A7)-Sheet1!$F$3*(1+F16)^A7&gt;0,(sumd*((1+rated))^A7)-((sumd*((1+rated))^A7)-Sheet1!$F$3*(1+Sheet1!$F$11)^A7)*20.6%,(sumd*((1+rated))^A7)))</f>
        <v>16076.771899765046</v>
      </c>
      <c r="G7" s="72">
        <f>(sum*((1+rate*(1-10.3%)))^A7)-(((sum*((1+rate*(1-10.3%)))^A7)-Sheet1!$F$3)*(IF((IF(tax=10%,10.3%,IF(tax=20%,20.6%,IF(tax=30%,30.9%)))-10.3%)&lt;0,0,(IF(tax=10%,10.3%,IF(tax=20%,20.6%,IF(tax=30%,30.9%)))-10.3%))))</f>
        <v>15933.208647948424</v>
      </c>
    </row>
    <row r="8" spans="1:7">
      <c r="A8">
        <f t="shared" si="1"/>
        <v>7</v>
      </c>
      <c r="B8" s="72">
        <f t="shared" si="0"/>
        <v>17219.496582097301</v>
      </c>
      <c r="D8" s="72">
        <f>IF(A8&lt;=3,(sumd*((1+rated))^A8)-(((sumd*((1+rated))^A8)-Sheet1!$F$3)*(IF(tax=10%,10.3%,IF(tax=20%,20.6%,IF(tax=30%,30.9%))))),(sumd*((1+rated))^A8)-(((sumd*((1+rated))^A8)-Sheet1!$F$3)*20.6%))</f>
        <v>16574.630619284526</v>
      </c>
      <c r="E8" s="72">
        <f>IF(A8&lt;=3,(sumd*((1+rated))^A8)-(((sumd*((1+rated))^A8)-Sheet1!$F$3)*(IF(tax=10%,10.3%,IF(tax=20%,20.6%,IF(tax=30%,30.9%))))),IF((sumd*((1+rated))^A8)-Sheet1!$F$3*(1+F17)^A8&gt;0,(sumd*((1+rated))^A8)-((sumd*((1+rated))^A8)-Sheet1!$F$3*(1+Sheet1!$F$11)^A8)*20.6%,(sumd*((1+rated))^A8)))</f>
        <v>17413.257489956399</v>
      </c>
      <c r="G8" s="72">
        <f>(sum*((1+rate*(1-10.3%)))^A8)-(((sum*((1+rate*(1-10.3%)))^A8)-Sheet1!$F$3)*(IF((IF(tax=10%,10.3%,IF(tax=20%,20.6%,IF(tax=30%,30.9%)))-10.3%)&lt;0,0,(IF(tax=10%,10.3%,IF(tax=20%,20.6%,IF(tax=30%,30.9%)))-10.3%))))</f>
        <v>17219.496582097301</v>
      </c>
    </row>
    <row r="9" spans="1:7">
      <c r="A9">
        <f t="shared" si="1"/>
        <v>8</v>
      </c>
      <c r="B9" s="72">
        <f t="shared" si="0"/>
        <v>18609.626541170011</v>
      </c>
      <c r="D9" s="72">
        <f>IF(A9&lt;=3,(sumd*((1+rated))^A9)-(((sumd*((1+rated))^A9)-Sheet1!$F$3)*(IF(tax=10%,10.3%,IF(tax=20%,20.6%,IF(tax=30%,30.9%))))),(sumd*((1+rated))^A9)-(((sumd*((1+rated))^A9)-Sheet1!$F$3)*20.6%))</f>
        <v>17880.947375020132</v>
      </c>
      <c r="E9" s="72">
        <f>IF(A9&lt;=3,(sumd*((1+rated))^A9)-(((sumd*((1+rated))^A9)-Sheet1!$F$3)*(IF(tax=10%,10.3%,IF(tax=20%,20.6%,IF(tax=30%,30.9%))))),IF((sumd*((1+rated))^A9)-Sheet1!$F$3*(1+F18)^A9&gt;0,(sumd*((1+rated))^A9)-((sumd*((1+rated))^A9)-Sheet1!$F$3*(1+Sheet1!$F$11)^A9)*20.6%,(sumd*((1+rated))^A9)))</f>
        <v>18864.505589225602</v>
      </c>
      <c r="G9" s="72">
        <f>(sum*((1+rate*(1-10.3%)))^A9)-(((sum*((1+rate*(1-10.3%)))^A9)-Sheet1!$F$3)*(IF((IF(tax=10%,10.3%,IF(tax=20%,20.6%,IF(tax=30%,30.9%)))-10.3%)&lt;0,0,(IF(tax=10%,10.3%,IF(tax=20%,20.6%,IF(tax=30%,30.9%)))-10.3%))))</f>
        <v>18609.626541170011</v>
      </c>
    </row>
    <row r="10" spans="1:7">
      <c r="A10">
        <f t="shared" si="1"/>
        <v>9</v>
      </c>
      <c r="B10" s="72">
        <f t="shared" si="0"/>
        <v>20111.981691838668</v>
      </c>
      <c r="D10" s="72">
        <f>IF(A10&lt;=3,(sumd*((1+rated))^A10)-(((sumd*((1+rated))^A10)-Sheet1!$F$3)*(IF(tax=10%,10.3%,IF(tax=20%,20.6%,IF(tax=30%,30.9%))))),(sumd*((1+rated))^A10)-(((sumd*((1+rated))^A10)-Sheet1!$F$3)*20.6%))</f>
        <v>19304.832638771946</v>
      </c>
      <c r="E10" s="72">
        <f>IF(A10&lt;=3,(sumd*((1+rated))^A10)-(((sumd*((1+rated))^A10)-Sheet1!$F$3)*(IF(tax=10%,10.3%,IF(tax=20%,20.6%,IF(tax=30%,30.9%))))),IF((sumd*((1+rated))^A10)-Sheet1!$F$3*(1+F19)^A10&gt;0,(sumd*((1+rated))^A10)-((sumd*((1+rated))^A10)-Sheet1!$F$3*(1+Sheet1!$F$11)^A10)*20.6%,(sumd*((1+rated))^A10)))</f>
        <v>20440.568763687686</v>
      </c>
      <c r="G10" s="72">
        <f>(sum*((1+rate*(1-10.3%)))^A10)-(((sum*((1+rate*(1-10.3%)))^A10)-Sheet1!$F$3)*(IF((IF(tax=10%,10.3%,IF(tax=20%,20.6%,IF(tax=30%,30.9%)))-10.3%)&lt;0,0,(IF(tax=10%,10.3%,IF(tax=20%,20.6%,IF(tax=30%,30.9%)))-10.3%))))</f>
        <v>20111.981691838668</v>
      </c>
    </row>
    <row r="11" spans="1:7">
      <c r="A11">
        <f t="shared" si="1"/>
        <v>10</v>
      </c>
      <c r="B11" s="72">
        <f t="shared" si="0"/>
        <v>21735.621973820798</v>
      </c>
      <c r="D11" s="72">
        <f>IF(A11&lt;=3,(sumd*((1+rated))^A11)-(((sumd*((1+rated))^A11)-Sheet1!$F$3)*(IF(tax=10%,10.3%,IF(tax=20%,20.6%,IF(tax=30%,30.9%))))),(sumd*((1+rated))^A11)-(((sumd*((1+rated))^A11)-Sheet1!$F$3)*20.6%))</f>
        <v>20856.867576261422</v>
      </c>
      <c r="E11" s="72">
        <f>IF(A11&lt;=3,(sumd*((1+rated))^A11)-(((sumd*((1+rated))^A11)-Sheet1!$F$3)*(IF(tax=10%,10.3%,IF(tax=20%,20.6%,IF(tax=30%,30.9%))))),IF((sumd*((1+rated))^A11)-Sheet1!$F$3*(1+F20)^A11&gt;0,(sumd*((1+rated))^A11)-((sumd*((1+rated))^A11)-Sheet1!$F$3*(1+Sheet1!$F$11)^A11)*20.6%,(sumd*((1+rated))^A11)))</f>
        <v>22152.390507422951</v>
      </c>
      <c r="G11" s="72">
        <f>(sum*((1+rate*(1-10.3%)))^A11)-(((sum*((1+rate*(1-10.3%)))^A11)-Sheet1!$F$3)*(IF((IF(tax=10%,10.3%,IF(tax=20%,20.6%,IF(tax=30%,30.9%)))-10.3%)&lt;0,0,(IF(tax=10%,10.3%,IF(tax=20%,20.6%,IF(tax=30%,30.9%)))-10.3%))))</f>
        <v>21735.621973820798</v>
      </c>
    </row>
    <row r="12" spans="1:7">
      <c r="A12">
        <f t="shared" si="1"/>
        <v>11</v>
      </c>
      <c r="B12" s="72">
        <f t="shared" si="0"/>
        <v>23490.338735767353</v>
      </c>
      <c r="D12" s="72">
        <f>IF(A12&lt;=3,(sumd*((1+rated))^A12)-(((sumd*((1+rated))^A12)-Sheet1!$F$3)*(IF(tax=10%,10.3%,IF(tax=20%,20.6%,IF(tax=30%,30.9%))))),(sumd*((1+rated))^A12)-(((sumd*((1+rated))^A12)-Sheet1!$F$3)*20.6%))</f>
        <v>22548.58565812495</v>
      </c>
      <c r="E12" s="72">
        <f>IF(A12&lt;=3,(sumd*((1+rated))^A12)-(((sumd*((1+rated))^A12)-Sheet1!$F$3)*(IF(tax=10%,10.3%,IF(tax=20%,20.6%,IF(tax=30%,30.9%))))),IF((sumd*((1+rated))^A12)-Sheet1!$F$3*(1+F21)^A12&gt;0,(sumd*((1+rated))^A12)-((sumd*((1+rated))^A12)-Sheet1!$F$3*(1+Sheet1!$F$11)^A12)*20.6%,(sumd*((1+rated))^A12)))</f>
        <v>24011.884735844556</v>
      </c>
      <c r="G12" s="72">
        <f>(sum*((1+rate*(1-10.3%)))^A12)-(((sum*((1+rate*(1-10.3%)))^A12)-Sheet1!$F$3)*(IF((IF(tax=10%,10.3%,IF(tax=20%,20.6%,IF(tax=30%,30.9%)))-10.3%)&lt;0,0,(IF(tax=10%,10.3%,IF(tax=20%,20.6%,IF(tax=30%,30.9%)))-10.3%))))</f>
        <v>23490.338735767353</v>
      </c>
    </row>
    <row r="13" spans="1:7">
      <c r="A13">
        <f t="shared" si="1"/>
        <v>12</v>
      </c>
      <c r="B13" s="72">
        <f t="shared" si="0"/>
        <v>25386.713781905844</v>
      </c>
      <c r="D13" s="72">
        <f>IF(A13&lt;=3,(sumd*((1+rated))^A13)-(((sumd*((1+rated))^A13)-Sheet1!$F$3)*(IF(tax=10%,10.3%,IF(tax=20%,20.6%,IF(tax=30%,30.9%))))),(sumd*((1+rated))^A13)-(((sumd*((1+rated))^A13)-Sheet1!$F$3)*20.6%))</f>
        <v>24392.558367356196</v>
      </c>
      <c r="E13" s="72">
        <f>IF(A13&lt;=3,(sumd*((1+rated))^A13)-(((sumd*((1+rated))^A13)-Sheet1!$F$3)*(IF(tax=10%,10.3%,IF(tax=20%,20.6%,IF(tax=30%,30.9%))))),IF((sumd*((1+rated))^A13)-Sheet1!$F$3*(1+F22)^A13&gt;0,(sumd*((1+rated))^A13)-((sumd*((1+rated))^A13)-Sheet1!$F$3*(1+Sheet1!$F$11)^A13)*20.6%,(sumd*((1+rated))^A13)))</f>
        <v>26032.022398961781</v>
      </c>
      <c r="G13" s="72">
        <f>(sum*((1+rate*(1-10.3%)))^A13)-(((sum*((1+rate*(1-10.3%)))^A13)-Sheet1!$F$3)*(IF((IF(tax=10%,10.3%,IF(tax=20%,20.6%,IF(tax=30%,30.9%)))-10.3%)&lt;0,0,(IF(tax=10%,10.3%,IF(tax=20%,20.6%,IF(tax=30%,30.9%)))-10.3%))))</f>
        <v>25386.713781905844</v>
      </c>
    </row>
    <row r="14" spans="1:7">
      <c r="A14">
        <f t="shared" si="1"/>
        <v>13</v>
      </c>
      <c r="B14" s="72">
        <f t="shared" si="0"/>
        <v>27436.183185519109</v>
      </c>
      <c r="D14" s="72">
        <f>IF(A14&lt;=3,(sumd*((1+rated))^A14)-(((sumd*((1+rated))^A14)-Sheet1!$F$3)*(IF(tax=10%,10.3%,IF(tax=20%,20.6%,IF(tax=30%,30.9%))))),(sumd*((1+rated))^A14)-(((sumd*((1+rated))^A14)-Sheet1!$F$3)*20.6%))</f>
        <v>26402.488620418259</v>
      </c>
      <c r="E14" s="72">
        <f>IF(A14&lt;=3,(sumd*((1+rated))^A14)-(((sumd*((1+rated))^A14)-Sheet1!$F$3)*(IF(tax=10%,10.3%,IF(tax=20%,20.6%,IF(tax=30%,30.9%))))),IF((sumd*((1+rated))^A14)-Sheet1!$F$3*(1+F23)^A14&gt;0,(sumd*((1+rated))^A14)-((sumd*((1+rated))^A14)-Sheet1!$F$3*(1+Sheet1!$F$11)^A14)*20.6%,(sumd*((1+rated))^A14)))</f>
        <v>28226.925853604123</v>
      </c>
      <c r="G14" s="72">
        <f>(sum*((1+rate*(1-10.3%)))^A14)-(((sum*((1+rate*(1-10.3%)))^A14)-Sheet1!$F$3)*(IF((IF(tax=10%,10.3%,IF(tax=20%,20.6%,IF(tax=30%,30.9%)))-10.3%)&lt;0,0,(IF(tax=10%,10.3%,IF(tax=20%,20.6%,IF(tax=30%,30.9%)))-10.3%))))</f>
        <v>27436.183185519109</v>
      </c>
    </row>
    <row r="15" spans="1:7">
      <c r="A15">
        <f t="shared" si="1"/>
        <v>14</v>
      </c>
      <c r="B15" s="72">
        <f t="shared" si="0"/>
        <v>29651.106254086058</v>
      </c>
      <c r="D15" s="72">
        <f>IF(A15&lt;=3,(sumd*((1+rated))^A15)-(((sumd*((1+rated))^A15)-Sheet1!$F$3)*(IF(tax=10%,10.3%,IF(tax=20%,20.6%,IF(tax=30%,30.9%))))),(sumd*((1+rated))^A15)-(((sumd*((1+rated))^A15)-Sheet1!$F$3)*20.6%))</f>
        <v>28593.312596255902</v>
      </c>
      <c r="E15" s="72">
        <f>IF(A15&lt;=3,(sumd*((1+rated))^A15)-(((sumd*((1+rated))^A15)-Sheet1!$F$3)*(IF(tax=10%,10.3%,IF(tax=20%,20.6%,IF(tax=30%,30.9%))))),IF((sumd*((1+rated))^A15)-Sheet1!$F$3*(1+F24)^A15&gt;0,(sumd*((1+rated))^A15)-((sumd*((1+rated))^A15)-Sheet1!$F$3*(1+Sheet1!$F$11)^A15)*20.6%,(sumd*((1+rated))^A15)))</f>
        <v>30611.971691101062</v>
      </c>
      <c r="G15" s="72">
        <f>(sum*((1+rate*(1-10.3%)))^A15)-(((sum*((1+rate*(1-10.3%)))^A15)-Sheet1!$F$3)*(IF((IF(tax=10%,10.3%,IF(tax=20%,20.6%,IF(tax=30%,30.9%)))-10.3%)&lt;0,0,(IF(tax=10%,10.3%,IF(tax=20%,20.6%,IF(tax=30%,30.9%)))-10.3%))))</f>
        <v>29651.106254086058</v>
      </c>
    </row>
    <row r="16" spans="1:7">
      <c r="A16">
        <f t="shared" si="1"/>
        <v>15</v>
      </c>
      <c r="B16" s="72">
        <f t="shared" si="0"/>
        <v>32044.840061978426</v>
      </c>
      <c r="D16" s="72">
        <f>IF(A16&lt;=3,(sumd*((1+rated))^A16)-(((sumd*((1+rated))^A16)-Sheet1!$F$3)*(IF(tax=10%,10.3%,IF(tax=20%,20.6%,IF(tax=30%,30.9%))))),(sumd*((1+rated))^A16)-(((sumd*((1+rated))^A16)-Sheet1!$F$3)*20.6%))</f>
        <v>30981.310729918932</v>
      </c>
      <c r="E16" s="72">
        <f>IF(A16&lt;=3,(sumd*((1+rated))^A16)-(((sumd*((1+rated))^A16)-Sheet1!$F$3)*(IF(tax=10%,10.3%,IF(tax=20%,20.6%,IF(tax=30%,30.9%))))),IF((sumd*((1+rated))^A16)-Sheet1!$F$3*(1+F25)^A16&gt;0,(sumd*((1+rated))^A16)-((sumd*((1+rated))^A16)-Sheet1!$F$3*(1+Sheet1!$F$11)^A16)*20.6%,(sumd*((1+rated))^A16)))</f>
        <v>33203.902779506352</v>
      </c>
      <c r="G16" s="72">
        <f>(sum*((1+rate*(1-10.3%)))^A16)-(((sum*((1+rate*(1-10.3%)))^A16)-Sheet1!$F$3)*(IF((IF(tax=10%,10.3%,IF(tax=20%,20.6%,IF(tax=30%,30.9%)))-10.3%)&lt;0,0,(IF(tax=10%,10.3%,IF(tax=20%,20.6%,IF(tax=30%,30.9%)))-10.3%))))</f>
        <v>32044.840061978426</v>
      </c>
    </row>
    <row r="17" spans="1:7">
      <c r="A17">
        <f t="shared" si="1"/>
        <v>16</v>
      </c>
      <c r="B17" s="72">
        <f t="shared" si="0"/>
        <v>34631.820000181935</v>
      </c>
      <c r="D17" s="72">
        <f>IF(A17&lt;=3,(sumd*((1+rated))^A17)-(((sumd*((1+rated))^A17)-Sheet1!$F$3)*(IF(tax=10%,10.3%,IF(tax=20%,20.6%,IF(tax=30%,30.9%))))),(sumd*((1+rated))^A17)-(((sumd*((1+rated))^A17)-Sheet1!$F$3)*20.6%))</f>
        <v>33584.228695611637</v>
      </c>
      <c r="E17" s="72">
        <f>IF(A17&lt;=3,(sumd*((1+rated))^A17)-(((sumd*((1+rated))^A17)-Sheet1!$F$3)*(IF(tax=10%,10.3%,IF(tax=20%,20.6%,IF(tax=30%,30.9%))))),IF((sumd*((1+rated))^A17)-Sheet1!$F$3*(1+F26)^A17&gt;0,(sumd*((1+rated))^A17)-((sumd*((1+rated))^A17)-Sheet1!$F$3*(1+Sheet1!$F$11)^A17)*20.6%,(sumd*((1+rated))^A17)))</f>
        <v>36020.95034767843</v>
      </c>
      <c r="G17" s="72">
        <f>(sum*((1+rate*(1-10.3%)))^A17)-(((sum*((1+rate*(1-10.3%)))^A17)-Sheet1!$F$3)*(IF((IF(tax=10%,10.3%,IF(tax=20%,20.6%,IF(tax=30%,30.9%)))-10.3%)&lt;0,0,(IF(tax=10%,10.3%,IF(tax=20%,20.6%,IF(tax=30%,30.9%)))-10.3%))))</f>
        <v>34631.820000181935</v>
      </c>
    </row>
    <row r="18" spans="1:7">
      <c r="A18">
        <f t="shared" si="1"/>
        <v>17</v>
      </c>
      <c r="B18" s="72">
        <f t="shared" si="0"/>
        <v>37427.64682879662</v>
      </c>
      <c r="D18" s="72">
        <f>IF(A18&lt;=3,(sumd*((1+rated))^A18)-(((sumd*((1+rated))^A18)-Sheet1!$F$3)*(IF(tax=10%,10.3%,IF(tax=20%,20.6%,IF(tax=30%,30.9%))))),(sumd*((1+rated))^A18)-(((sumd*((1+rated))^A18)-Sheet1!$F$3)*20.6%))</f>
        <v>36421.409278216684</v>
      </c>
      <c r="E18" s="72">
        <f>IF(A18&lt;=3,(sumd*((1+rated))^A18)-(((sumd*((1+rated))^A18)-Sheet1!$F$3)*(IF(tax=10%,10.3%,IF(tax=20%,20.6%,IF(tax=30%,30.9%))))),IF((sumd*((1+rated))^A18)-Sheet1!$F$3*(1+F27)^A18&gt;0,(sumd*((1+rated))^A18)-((sumd*((1+rated))^A18)-Sheet1!$F$3*(1+Sheet1!$F$11)^A18)*20.6%,(sumd*((1+rated))^A18)))</f>
        <v>39082.967012886817</v>
      </c>
      <c r="G18" s="72">
        <f>(sum*((1+rate*(1-10.3%)))^A18)-(((sum*((1+rate*(1-10.3%)))^A18)-Sheet1!$F$3)*(IF((IF(tax=10%,10.3%,IF(tax=20%,20.6%,IF(tax=30%,30.9%)))-10.3%)&lt;0,0,(IF(tax=10%,10.3%,IF(tax=20%,20.6%,IF(tax=30%,30.9%)))-10.3%))))</f>
        <v>37427.64682879662</v>
      </c>
    </row>
    <row r="19" spans="1:7">
      <c r="A19">
        <f t="shared" si="1"/>
        <v>18</v>
      </c>
      <c r="B19" s="72">
        <f t="shared" si="0"/>
        <v>40449.180757285372</v>
      </c>
      <c r="D19" s="72">
        <f>IF(A19&lt;=3,(sumd*((1+rated))^A19)-(((sumd*((1+rated))^A19)-Sheet1!$F$3)*(IF(tax=10%,10.3%,IF(tax=20%,20.6%,IF(tax=30%,30.9%))))),(sumd*((1+rated))^A19)-(((sumd*((1+rated))^A19)-Sheet1!$F$3)*20.6%))</f>
        <v>39513.93611325619</v>
      </c>
      <c r="E19" s="72">
        <f>IF(A19&lt;=3,(sumd*((1+rated))^A19)-(((sumd*((1+rated))^A19)-Sheet1!$F$3)*(IF(tax=10%,10.3%,IF(tax=20%,20.6%,IF(tax=30%,30.9%))))),IF((sumd*((1+rated))^A19)-Sheet1!$F$3*(1+F28)^A19&gt;0,(sumd*((1+rated))^A19)-((sumd*((1+rated))^A19)-Sheet1!$F$3*(1+Sheet1!$F$11)^A19)*20.6%,(sumd*((1+rated))^A19)))</f>
        <v>42411.571734659825</v>
      </c>
      <c r="G19" s="72">
        <f>(sum*((1+rate*(1-10.3%)))^A19)-(((sum*((1+rate*(1-10.3%)))^A19)-Sheet1!$F$3)*(IF((IF(tax=10%,10.3%,IF(tax=20%,20.6%,IF(tax=30%,30.9%)))-10.3%)&lt;0,0,(IF(tax=10%,10.3%,IF(tax=20%,20.6%,IF(tax=30%,30.9%)))-10.3%))))</f>
        <v>40449.180757285372</v>
      </c>
    </row>
    <row r="20" spans="1:7">
      <c r="A20">
        <f t="shared" si="1"/>
        <v>19</v>
      </c>
      <c r="B20" s="72">
        <f t="shared" si="0"/>
        <v>43714.643119821019</v>
      </c>
      <c r="D20" s="72">
        <f>IF(A20&lt;=3,(sumd*((1+rated))^A20)-(((sumd*((1+rated))^A20)-Sheet1!$F$3)*(IF(tax=10%,10.3%,IF(tax=20%,20.6%,IF(tax=30%,30.9%))))),(sumd*((1+rated))^A20)-(((sumd*((1+rated))^A20)-Sheet1!$F$3)*20.6%))</f>
        <v>42884.790363449254</v>
      </c>
      <c r="E20" s="72">
        <f>IF(A20&lt;=3,(sumd*((1+rated))^A20)-(((sumd*((1+rated))^A20)-Sheet1!$F$3)*(IF(tax=10%,10.3%,IF(tax=20%,20.6%,IF(tax=30%,30.9%))))),IF((sumd*((1+rated))^A20)-Sheet1!$F$3*(1+F29)^A20&gt;0,(sumd*((1+rated))^A20)-((sumd*((1+rated))^A20)-Sheet1!$F$3*(1+Sheet1!$F$11)^A20)*20.6%,(sumd*((1+rated))^A20)))</f>
        <v>46030.307765923069</v>
      </c>
      <c r="G20" s="72">
        <f>(sum*((1+rate*(1-10.3%)))^A20)-(((sum*((1+rate*(1-10.3%)))^A20)-Sheet1!$F$3)*(IF((IF(tax=10%,10.3%,IF(tax=20%,20.6%,IF(tax=30%,30.9%)))-10.3%)&lt;0,0,(IF(tax=10%,10.3%,IF(tax=20%,20.6%,IF(tax=30%,30.9%)))-10.3%))))</f>
        <v>43714.643119821019</v>
      </c>
    </row>
    <row r="21" spans="1:7">
      <c r="A21">
        <f t="shared" si="1"/>
        <v>20</v>
      </c>
      <c r="B21" s="72">
        <f t="shared" si="0"/>
        <v>47243.726258884155</v>
      </c>
      <c r="D21" s="72">
        <f>IF(A21&lt;=3,(sumd*((1+rated))^A21)-(((sumd*((1+rated))^A21)-Sheet1!$F$3)*(IF(tax=10%,10.3%,IF(tax=20%,20.6%,IF(tax=30%,30.9%))))),(sumd*((1+rated))^A21)-(((sumd*((1+rated))^A21)-Sheet1!$F$3)*20.6%))</f>
        <v>46559.021496159679</v>
      </c>
      <c r="E21" s="72">
        <f>IF(A21&lt;=3,(sumd*((1+rated))^A21)-(((sumd*((1+rated))^A21)-Sheet1!$F$3)*(IF(tax=10%,10.3%,IF(tax=20%,20.6%,IF(tax=30%,30.9%))))),IF((sumd*((1+rated))^A21)-Sheet1!$F$3*(1+F30)^A21&gt;0,(sumd*((1+rated))^A21)-((sumd*((1+rated))^A21)-Sheet1!$F$3*(1+Sheet1!$F$11)^A21)*20.6%,(sumd*((1+rated))^A21)))</f>
        <v>49964.814768757191</v>
      </c>
      <c r="G21" s="72">
        <f>(sum*((1+rate*(1-10.3%)))^A21)-(((sum*((1+rate*(1-10.3%)))^A21)-Sheet1!$F$3)*(IF((IF(tax=10%,10.3%,IF(tax=20%,20.6%,IF(tax=30%,30.9%)))-10.3%)&lt;0,0,(IF(tax=10%,10.3%,IF(tax=20%,20.6%,IF(tax=30%,30.9%)))-10.3%))))</f>
        <v>47243.726258884155</v>
      </c>
    </row>
    <row r="22" spans="1:7">
      <c r="A22">
        <f t="shared" si="1"/>
        <v>21</v>
      </c>
      <c r="B22" s="72">
        <f t="shared" si="0"/>
        <v>51057.71227976388</v>
      </c>
      <c r="D22" s="72">
        <f>IF(A22&lt;=3,(sumd*((1+rated))^A22)-(((sumd*((1+rated))^A22)-Sheet1!$F$3)*(IF(tax=10%,10.3%,IF(tax=20%,20.6%,IF(tax=30%,30.9%))))),(sumd*((1+rated))^A22)-(((sumd*((1+rated))^A22)-Sheet1!$F$3)*20.6%))</f>
        <v>50563.933430814068</v>
      </c>
      <c r="E22" s="72">
        <f>IF(A22&lt;=3,(sumd*((1+rated))^A22)-(((sumd*((1+rated))^A22)-Sheet1!$F$3)*(IF(tax=10%,10.3%,IF(tax=20%,20.6%,IF(tax=30%,30.9%))))),IF((sumd*((1+rated))^A22)-Sheet1!$F$3*(1+F31)^A22&gt;0,(sumd*((1+rated))^A22)-((sumd*((1+rated))^A22)-Sheet1!$F$3*(1+Sheet1!$F$11)^A22)*20.6%,(sumd*((1+rated))^A22)))</f>
        <v>54243.016367041448</v>
      </c>
      <c r="G22" s="72">
        <f>(sum*((1+rate*(1-10.3%)))^A22)-(((sum*((1+rate*(1-10.3%)))^A22)-Sheet1!$F$3)*(IF((IF(tax=10%,10.3%,IF(tax=20%,20.6%,IF(tax=30%,30.9%)))-10.3%)&lt;0,0,(IF(tax=10%,10.3%,IF(tax=20%,20.6%,IF(tax=30%,30.9%)))-10.3%))))</f>
        <v>51057.71227976388</v>
      </c>
    </row>
    <row r="23" spans="1:7">
      <c r="A23">
        <f t="shared" si="1"/>
        <v>22</v>
      </c>
      <c r="B23" s="72">
        <f t="shared" si="0"/>
        <v>55179.601392109209</v>
      </c>
      <c r="D23" s="72">
        <f>IF(A23&lt;=3,(sumd*((1+rated))^A23)-(((sumd*((1+rated))^A23)-Sheet1!$F$3)*(IF(tax=10%,10.3%,IF(tax=20%,20.6%,IF(tax=30%,30.9%))))),(sumd*((1+rated))^A23)-(((sumd*((1+rated))^A23)-Sheet1!$F$3)*20.6%))</f>
        <v>54929.287439587322</v>
      </c>
      <c r="E23" s="72">
        <f>IF(A23&lt;=3,(sumd*((1+rated))^A23)-(((sumd*((1+rated))^A23)-Sheet1!$F$3)*(IF(tax=10%,10.3%,IF(tax=20%,20.6%,IF(tax=30%,30.9%))))),IF((sumd*((1+rated))^A23)-Sheet1!$F$3*(1+F32)^A23&gt;0,(sumd*((1+rated))^A23)-((sumd*((1+rated))^A23)-Sheet1!$F$3*(1+Sheet1!$F$11)^A23)*20.6%,(sumd*((1+rated))^A23)))</f>
        <v>58895.324522626077</v>
      </c>
      <c r="G23" s="72">
        <f>(sum*((1+rate*(1-10.3%)))^A23)-(((sum*((1+rate*(1-10.3%)))^A23)-Sheet1!$F$3)*(IF((IF(tax=10%,10.3%,IF(tax=20%,20.6%,IF(tax=30%,30.9%)))-10.3%)&lt;0,0,(IF(tax=10%,10.3%,IF(tax=20%,20.6%,IF(tax=30%,30.9%)))-10.3%))))</f>
        <v>55179.601392109209</v>
      </c>
    </row>
    <row r="24" spans="1:7">
      <c r="A24">
        <f t="shared" si="1"/>
        <v>23</v>
      </c>
      <c r="B24" s="72">
        <f t="shared" si="0"/>
        <v>59634.250612494186</v>
      </c>
      <c r="D24" s="72">
        <f>IF(A24&lt;=3,(sumd*((1+rated))^A24)-(((sumd*((1+rated))^A24)-Sheet1!$F$3)*(IF(tax=10%,10.3%,IF(tax=20%,20.6%,IF(tax=30%,30.9%))))),(sumd*((1+rated))^A24)-(((sumd*((1+rated))^A24)-Sheet1!$F$3)*20.6%))</f>
        <v>59687.523309150187</v>
      </c>
      <c r="E24" s="72">
        <f>IF(A24&lt;=3,(sumd*((1+rated))^A24)-(((sumd*((1+rated))^A24)-Sheet1!$F$3)*(IF(tax=10%,10.3%,IF(tax=20%,20.6%,IF(tax=30%,30.9%))))),IF((sumd*((1+rated))^A24)-Sheet1!$F$3*(1+F33)^A24&gt;0,(sumd*((1+rated))^A24)-((sumd*((1+rated))^A24)-Sheet1!$F$3*(1+Sheet1!$F$11)^A24)*20.6%,(sumd*((1+rated))^A24)))</f>
        <v>63954.862246340868</v>
      </c>
      <c r="G24" s="72">
        <f>(sum*((1+rate*(1-10.3%)))^A24)-(((sum*((1+rate*(1-10.3%)))^A24)-Sheet1!$F$3)*(IF((IF(tax=10%,10.3%,IF(tax=20%,20.6%,IF(tax=30%,30.9%)))-10.3%)&lt;0,0,(IF(tax=10%,10.3%,IF(tax=20%,20.6%,IF(tax=30%,30.9%)))-10.3%))))</f>
        <v>59634.250612494186</v>
      </c>
    </row>
    <row r="25" spans="1:7">
      <c r="A25">
        <f t="shared" si="1"/>
        <v>24</v>
      </c>
      <c r="B25" s="72">
        <f t="shared" si="0"/>
        <v>64448.523664440821</v>
      </c>
      <c r="D25" s="72">
        <f>IF(A25&lt;=3,(sumd*((1+rated))^A25)-(((sumd*((1+rated))^A25)-Sheet1!$F$3)*(IF(tax=10%,10.3%,IF(tax=20%,20.6%,IF(tax=30%,30.9%))))),(sumd*((1+rated))^A25)-(((sumd*((1+rated))^A25)-Sheet1!$F$3)*20.6%))</f>
        <v>64874.000406973712</v>
      </c>
      <c r="E25" s="72">
        <f>IF(A25&lt;=3,(sumd*((1+rated))^A25)-(((sumd*((1+rated))^A25)-Sheet1!$F$3)*(IF(tax=10%,10.3%,IF(tax=20%,20.6%,IF(tax=30%,30.9%))))),IF((sumd*((1+rated))^A25)-Sheet1!$F$3*(1+F34)^A25&gt;0,(sumd*((1+rated))^A25)-((sumd*((1+rated))^A25)-Sheet1!$F$3*(1+Sheet1!$F$11)^A25)*20.6%,(sumd*((1+rated))^A25)))</f>
        <v>69457.706291023933</v>
      </c>
      <c r="G25" s="72">
        <f>(sum*((1+rate*(1-10.3%)))^A25)-(((sum*((1+rate*(1-10.3%)))^A25)-Sheet1!$F$3)*(IF((IF(tax=10%,10.3%,IF(tax=20%,20.6%,IF(tax=30%,30.9%)))-10.3%)&lt;0,0,(IF(tax=10%,10.3%,IF(tax=20%,20.6%,IF(tax=30%,30.9%)))-10.3%))))</f>
        <v>64448.523664440821</v>
      </c>
    </row>
    <row r="26" spans="1:7" s="76" customFormat="1">
      <c r="B26" s="77"/>
      <c r="D26" s="77"/>
      <c r="E26" s="77"/>
      <c r="G26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Corpus vs Duration</vt:lpstr>
      <vt:lpstr>corpindex</vt:lpstr>
      <vt:lpstr>corpnoindex</vt:lpstr>
      <vt:lpstr>rate</vt:lpstr>
      <vt:lpstr>rated</vt:lpstr>
      <vt:lpstr>sum</vt:lpstr>
      <vt:lpstr>sumd</vt:lpstr>
      <vt:lpstr>tax</vt:lpstr>
      <vt:lpstr>tenure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2013-03-12T03:45:11Z</dcterms:created>
  <dcterms:modified xsi:type="dcterms:W3CDTF">2014-07-10T16:26:20Z</dcterms:modified>
</cp:coreProperties>
</file>